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workbookProtection workbookPassword="CCFF" lockStructure="1"/>
  <bookViews>
    <workbookView xWindow="0" yWindow="0" windowWidth="28800" windowHeight="11700" firstSheet="1" activeTab="1"/>
  </bookViews>
  <sheets>
    <sheet name="Лист1" sheetId="7" state="hidden" r:id="rId1"/>
    <sheet name="расчет" sheetId="5" r:id="rId2"/>
    <sheet name="заявка" sheetId="9" r:id="rId3"/>
    <sheet name="эскиз" sheetId="10" r:id="rId4"/>
  </sheets>
  <definedNames>
    <definedName name="_k4">IF(расчет!$F$9="F-777",Лист1!$B$12,IF(расчет!$F$9="F-793",Лист1!$B$13,IF(расчет!$F$9="F-793 с ручкой",Лист1!$B$14,Лист1!$B$1)))</definedName>
    <definedName name="_k5">IF(расчет!$D$9="F1-99",Лист1!$B$2,IF(расчет!$D$9="F1-93",Лист1!$B$3,IF(расчет!$D$9="F1-93 NEW",Лист1!$B$4,IF(расчет!$D$9="F1-33",Лист1!$B$5,IF(расчет!$D$9="F1-33-S",Лист1!$B$6,IF(расчет!$D$9="Z-A",Лист1!$B$7,Лист1!$B$1))))))</definedName>
    <definedName name="_k6">IF(расчет!$H$9="F-993",Лист1!$B$8,IF(расчет!$H$9="F-993 с ручкой 2х200",Лист1!$B$9,IF(расчет!$H$9="F-993-L с ручкой 1000",Лист1!$B$10,IF(расчет!$H$9="F-993-R с ручкой 1000",Лист1!$B$11,Лист1!$B$1))))</definedName>
    <definedName name="_xlnm._FilterDatabase" localSheetId="1" hidden="1">расчет!$B$6:$J$36</definedName>
    <definedName name="к1">IF(расчет!$C$9="F1-99",Лист1!$B$2,IF(расчет!$C$9="F1-93",Лист1!$B$3,IF(расчет!$C$9="F1-93 NEW",Лист1!$B$4,IF(расчет!$C$9="F1-33",Лист1!$B$5,IF(расчет!$C$9="F1-33-S",Лист1!$B$6,IF(расчет!$C$9="Z-A",Лист1!$B$7,Лист1!$B$1))))))</definedName>
    <definedName name="к2">IF(расчет!$E$9="F-777",Лист1!$B$12,IF(расчет!$E$9="F-793",Лист1!$B$13,IF(расчет!$E$9="F-793 с ручкой",Лист1!$B$14,Лист1!$B$1)))</definedName>
    <definedName name="к3">IF(расчет!$G$9="F-993",Лист1!$B$8,IF(расчет!$G$9="F-993 с ручкой 2х200",Лист1!$B$9,IF(расчет!$G$9="F-993-L с ручкой 1000",Лист1!$B$10,IF(расчет!$G$9="F-993-R с ручкой 1000",Лист1!$B$11,Лист1!$B$1))))</definedName>
  </definedNames>
  <calcPr calcId="162913" iterateCount="1"/>
</workbook>
</file>

<file path=xl/calcChain.xml><?xml version="1.0" encoding="utf-8"?>
<calcChain xmlns="http://schemas.openxmlformats.org/spreadsheetml/2006/main">
  <c r="E46" i="5" l="1"/>
  <c r="E47" i="5"/>
  <c r="G47" i="5"/>
  <c r="F47" i="5"/>
  <c r="D75" i="5"/>
  <c r="E75" i="5"/>
  <c r="F75" i="5"/>
  <c r="G75" i="5"/>
  <c r="H75" i="5"/>
  <c r="C75" i="5"/>
  <c r="D74" i="5"/>
  <c r="E74" i="5"/>
  <c r="F74" i="5"/>
  <c r="G74" i="5"/>
  <c r="H74" i="5"/>
  <c r="C74" i="5"/>
  <c r="D10" i="9" l="1"/>
  <c r="E10" i="9"/>
  <c r="F10" i="9"/>
  <c r="G10" i="9"/>
  <c r="H10" i="9"/>
  <c r="C10" i="9"/>
  <c r="H39" i="5"/>
  <c r="H82" i="5"/>
  <c r="H83" i="5" s="1"/>
  <c r="H80" i="5"/>
  <c r="H81" i="5" s="1"/>
  <c r="H78" i="5"/>
  <c r="H79" i="5" s="1"/>
  <c r="H76" i="5"/>
  <c r="H77" i="5" s="1"/>
  <c r="H73" i="5"/>
  <c r="H71" i="5"/>
  <c r="H72" i="5" s="1"/>
  <c r="H69" i="5"/>
  <c r="H70" i="5" s="1"/>
  <c r="H66" i="5"/>
  <c r="H68" i="5" s="1"/>
  <c r="H64" i="5"/>
  <c r="H65" i="5" s="1"/>
  <c r="H62" i="5"/>
  <c r="H63" i="5" s="1"/>
  <c r="H60" i="5"/>
  <c r="H61" i="5" s="1"/>
  <c r="H58" i="5"/>
  <c r="H59" i="5" s="1"/>
  <c r="H56" i="5"/>
  <c r="H54" i="5" s="1"/>
  <c r="H55" i="5" s="1"/>
  <c r="H52" i="5"/>
  <c r="H53" i="5" s="1"/>
  <c r="H48" i="5"/>
  <c r="H47" i="5"/>
  <c r="H8" i="9" s="1"/>
  <c r="H46" i="5"/>
  <c r="H49" i="5" s="1"/>
  <c r="H40" i="5"/>
  <c r="C40" i="5"/>
  <c r="C39" i="5"/>
  <c r="F40" i="5"/>
  <c r="G39" i="5"/>
  <c r="D5" i="9"/>
  <c r="E5" i="9"/>
  <c r="F5" i="9"/>
  <c r="G5" i="9"/>
  <c r="H5" i="9"/>
  <c r="D9" i="9"/>
  <c r="E9" i="9"/>
  <c r="F9" i="9"/>
  <c r="G9" i="9"/>
  <c r="H9" i="9"/>
  <c r="D11" i="9"/>
  <c r="E11" i="9"/>
  <c r="F11" i="9"/>
  <c r="G11" i="9"/>
  <c r="G12" i="9" s="1"/>
  <c r="G36" i="5" s="1"/>
  <c r="H11" i="9"/>
  <c r="D17" i="9"/>
  <c r="E17" i="9"/>
  <c r="F17" i="9"/>
  <c r="G17" i="9"/>
  <c r="H17" i="9"/>
  <c r="D19" i="9"/>
  <c r="E19" i="9"/>
  <c r="F19" i="9"/>
  <c r="G19" i="9"/>
  <c r="H19" i="9"/>
  <c r="F80" i="5"/>
  <c r="F81" i="5" s="1"/>
  <c r="F78" i="5"/>
  <c r="F79" i="5" s="1"/>
  <c r="F76" i="5"/>
  <c r="F77" i="5" s="1"/>
  <c r="F73" i="5"/>
  <c r="F71" i="5"/>
  <c r="F72" i="5" s="1"/>
  <c r="F69" i="5"/>
  <c r="F70" i="5" s="1"/>
  <c r="F66" i="5"/>
  <c r="F67" i="5" s="1"/>
  <c r="F60" i="5"/>
  <c r="F61" i="5" s="1"/>
  <c r="F58" i="5"/>
  <c r="F59" i="5" s="1"/>
  <c r="F56" i="5"/>
  <c r="F54" i="5" s="1"/>
  <c r="F55" i="5" s="1"/>
  <c r="F52" i="5"/>
  <c r="F53" i="5" s="1"/>
  <c r="F48" i="5"/>
  <c r="F8" i="9"/>
  <c r="F46" i="5"/>
  <c r="F39" i="5"/>
  <c r="D80" i="5"/>
  <c r="D81" i="5" s="1"/>
  <c r="D78" i="5"/>
  <c r="D79" i="5" s="1"/>
  <c r="D76" i="5"/>
  <c r="D77" i="5" s="1"/>
  <c r="D71" i="5"/>
  <c r="D72" i="5" s="1"/>
  <c r="D69" i="5"/>
  <c r="D70" i="5" s="1"/>
  <c r="D66" i="5"/>
  <c r="D68" i="5" s="1"/>
  <c r="D60" i="5"/>
  <c r="D61" i="5" s="1"/>
  <c r="D58" i="5"/>
  <c r="D59" i="5" s="1"/>
  <c r="D56" i="5"/>
  <c r="D54" i="5" s="1"/>
  <c r="D18" i="9" s="1"/>
  <c r="D52" i="5"/>
  <c r="D53" i="5" s="1"/>
  <c r="D48" i="5"/>
  <c r="D47" i="5"/>
  <c r="D8" i="9" s="1"/>
  <c r="D46" i="5"/>
  <c r="D7" i="9" s="1"/>
  <c r="D40" i="5"/>
  <c r="D39" i="5"/>
  <c r="E80" i="5"/>
  <c r="E81" i="5" s="1"/>
  <c r="G80" i="5"/>
  <c r="G81" i="5" s="1"/>
  <c r="C80" i="5"/>
  <c r="C81" i="5" s="1"/>
  <c r="G82" i="5"/>
  <c r="G69" i="5"/>
  <c r="E69" i="5"/>
  <c r="C69" i="5"/>
  <c r="C17" i="9"/>
  <c r="C5" i="9"/>
  <c r="E52" i="5"/>
  <c r="E53" i="5" s="1"/>
  <c r="G52" i="5"/>
  <c r="G53" i="5" s="1"/>
  <c r="C52" i="5"/>
  <c r="C53" i="5" s="1"/>
  <c r="H12" i="9" l="1"/>
  <c r="H36" i="5" s="1"/>
  <c r="F7" i="9"/>
  <c r="F49" i="5"/>
  <c r="H34" i="5"/>
  <c r="H50" i="5"/>
  <c r="H51" i="5" s="1"/>
  <c r="H57" i="5"/>
  <c r="H44" i="5"/>
  <c r="H45" i="5" s="1"/>
  <c r="H41" i="5"/>
  <c r="F12" i="9"/>
  <c r="F36" i="5" s="1"/>
  <c r="F18" i="9"/>
  <c r="F15" i="9"/>
  <c r="H15" i="9"/>
  <c r="H7" i="9"/>
  <c r="D73" i="5"/>
  <c r="D12" i="9"/>
  <c r="D36" i="5" s="1"/>
  <c r="D15" i="9"/>
  <c r="D49" i="5"/>
  <c r="F62" i="5"/>
  <c r="F63" i="5" s="1"/>
  <c r="F57" i="5"/>
  <c r="D50" i="5"/>
  <c r="F50" i="5"/>
  <c r="F41" i="5"/>
  <c r="F44" i="5"/>
  <c r="F64" i="5"/>
  <c r="F65" i="5" s="1"/>
  <c r="D57" i="5"/>
  <c r="D55" i="5"/>
  <c r="D41" i="5"/>
  <c r="D82" i="5" s="1"/>
  <c r="D83" i="5" s="1"/>
  <c r="D44" i="5"/>
  <c r="D64" i="5"/>
  <c r="D65" i="5" s="1"/>
  <c r="D62" i="5"/>
  <c r="D63" i="5" s="1"/>
  <c r="G64" i="5"/>
  <c r="G62" i="5"/>
  <c r="D34" i="5" l="1"/>
  <c r="H42" i="5"/>
  <c r="H43" i="5"/>
  <c r="H14" i="9"/>
  <c r="H13" i="9"/>
  <c r="H18" i="9"/>
  <c r="H16" i="9"/>
  <c r="F51" i="5"/>
  <c r="F16" i="9"/>
  <c r="F45" i="5"/>
  <c r="F14" i="9"/>
  <c r="F13" i="9"/>
  <c r="D14" i="9"/>
  <c r="D13" i="9"/>
  <c r="D51" i="5"/>
  <c r="D16" i="9"/>
  <c r="F42" i="5"/>
  <c r="F82" i="5"/>
  <c r="F83" i="5" s="1"/>
  <c r="F34" i="5" s="1"/>
  <c r="F43" i="5"/>
  <c r="D45" i="5"/>
  <c r="D43" i="5"/>
  <c r="D42" i="5"/>
  <c r="E60" i="5"/>
  <c r="G60" i="5"/>
  <c r="C60" i="5"/>
  <c r="G58" i="5"/>
  <c r="E58" i="5"/>
  <c r="F33" i="5" l="1"/>
  <c r="F35" i="5" s="1"/>
  <c r="D33" i="5"/>
  <c r="H33" i="5"/>
  <c r="H35" i="5" s="1"/>
  <c r="E48" i="5"/>
  <c r="E49" i="5" s="1"/>
  <c r="G48" i="5"/>
  <c r="C48" i="5"/>
  <c r="C46" i="5"/>
  <c r="D35" i="5" l="1"/>
  <c r="C7" i="9"/>
  <c r="E66" i="5"/>
  <c r="E67" i="5" s="1"/>
  <c r="E70" i="5"/>
  <c r="C56" i="5"/>
  <c r="E56" i="5"/>
  <c r="E15" i="9" l="1"/>
  <c r="E50" i="5"/>
  <c r="E57" i="5"/>
  <c r="C50" i="5"/>
  <c r="C16" i="9" s="1"/>
  <c r="E51" i="5" l="1"/>
  <c r="E16" i="9"/>
  <c r="C2" i="5"/>
  <c r="E76" i="5"/>
  <c r="E77" i="5" s="1"/>
  <c r="C76" i="5"/>
  <c r="C77" i="5" s="1"/>
  <c r="G76" i="5"/>
  <c r="G77" i="5" s="1"/>
  <c r="C57" i="5"/>
  <c r="C78" i="5"/>
  <c r="C15" i="9" l="1"/>
  <c r="C54" i="5"/>
  <c r="E7" i="9" l="1"/>
  <c r="C18" i="9"/>
  <c r="C55" i="5"/>
  <c r="E78" i="5"/>
  <c r="E79" i="5" s="1"/>
  <c r="G78" i="5"/>
  <c r="G79" i="5" s="1"/>
  <c r="C79" i="5"/>
  <c r="E39" i="5" l="1"/>
  <c r="E40" i="5"/>
  <c r="G40" i="5"/>
  <c r="G46" i="5"/>
  <c r="G49" i="5" s="1"/>
  <c r="E8" i="9"/>
  <c r="G8" i="9"/>
  <c r="G56" i="5"/>
  <c r="G15" i="9" s="1"/>
  <c r="E59" i="5"/>
  <c r="G59" i="5"/>
  <c r="E61" i="5"/>
  <c r="G61" i="5"/>
  <c r="G66" i="5"/>
  <c r="G68" i="5" s="1"/>
  <c r="G70" i="5"/>
  <c r="E71" i="5"/>
  <c r="E72" i="5" s="1"/>
  <c r="G71" i="5"/>
  <c r="G72" i="5" s="1"/>
  <c r="E73" i="5"/>
  <c r="G73" i="5"/>
  <c r="G83" i="5"/>
  <c r="C66" i="5"/>
  <c r="C68" i="5" s="1"/>
  <c r="E12" i="9" l="1"/>
  <c r="E36" i="5" s="1"/>
  <c r="G7" i="9"/>
  <c r="C41" i="5"/>
  <c r="C82" i="5" s="1"/>
  <c r="C83" i="5" s="1"/>
  <c r="G50" i="5"/>
  <c r="E64" i="5"/>
  <c r="E65" i="5" s="1"/>
  <c r="E62" i="5"/>
  <c r="E63" i="5" s="1"/>
  <c r="E44" i="5"/>
  <c r="C64" i="5"/>
  <c r="C65" i="5" s="1"/>
  <c r="C62" i="5"/>
  <c r="C44" i="5"/>
  <c r="C45" i="5" s="1"/>
  <c r="G44" i="5"/>
  <c r="G63" i="5"/>
  <c r="G57" i="5"/>
  <c r="E41" i="5"/>
  <c r="G65" i="5"/>
  <c r="G41" i="5"/>
  <c r="G42" i="5" s="1"/>
  <c r="E54" i="5"/>
  <c r="G54" i="5"/>
  <c r="G34" i="5" l="1"/>
  <c r="E55" i="5"/>
  <c r="E18" i="9"/>
  <c r="E45" i="5"/>
  <c r="E14" i="9"/>
  <c r="E13" i="9"/>
  <c r="G55" i="5"/>
  <c r="G18" i="9"/>
  <c r="G45" i="5"/>
  <c r="G14" i="9"/>
  <c r="G13" i="9"/>
  <c r="G51" i="5"/>
  <c r="G16" i="9"/>
  <c r="C42" i="5"/>
  <c r="E42" i="5"/>
  <c r="E82" i="5"/>
  <c r="E83" i="5" s="1"/>
  <c r="E34" i="5" s="1"/>
  <c r="G43" i="5"/>
  <c r="E43" i="5"/>
  <c r="C1" i="9"/>
  <c r="C19" i="9"/>
  <c r="C11" i="9"/>
  <c r="C3" i="9"/>
  <c r="C70" i="5"/>
  <c r="C71" i="5"/>
  <c r="C72" i="5" s="1"/>
  <c r="C58" i="5"/>
  <c r="C59" i="5" s="1"/>
  <c r="C47" i="5"/>
  <c r="C49" i="5" s="1"/>
  <c r="C61" i="5"/>
  <c r="C224" i="5"/>
  <c r="C225" i="5"/>
  <c r="C226" i="5"/>
  <c r="C227" i="5"/>
  <c r="C228" i="5"/>
  <c r="C229" i="5"/>
  <c r="C231" i="5"/>
  <c r="C223" i="5"/>
  <c r="E33" i="5" l="1"/>
  <c r="G33" i="5"/>
  <c r="C51" i="5"/>
  <c r="C12" i="9"/>
  <c r="C36" i="5" s="1"/>
  <c r="C73" i="5"/>
  <c r="C14" i="9"/>
  <c r="C63" i="5"/>
  <c r="C34" i="5" l="1"/>
  <c r="J34" i="5"/>
  <c r="C13" i="9"/>
  <c r="C9" i="9"/>
  <c r="C2" i="9"/>
  <c r="G35" i="5" l="1"/>
  <c r="E35" i="5"/>
  <c r="C43" i="5"/>
  <c r="C33" i="5" l="1"/>
  <c r="J33" i="5" s="1"/>
  <c r="J35" i="5" s="1"/>
  <c r="C8" i="9"/>
  <c r="C35" i="5" l="1"/>
</calcChain>
</file>

<file path=xl/comments1.xml><?xml version="1.0" encoding="utf-8"?>
<comments xmlns="http://schemas.openxmlformats.org/spreadsheetml/2006/main">
  <authors>
    <author>Автор</author>
  </authors>
  <commentList>
    <comment ref="E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для серии  F-700
на 1 -комплект угогков -12 винтов!</t>
        </r>
      </text>
    </comment>
    <comment ref="F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для серии  F-700
на 1 -комплект угогков -12 винтов!</t>
        </r>
      </text>
    </comment>
    <comment ref="E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для серии  F-700
1 -комплект угогков на 1 фасад!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для серии  F-700
1 -комплект угогков на 1 фасад!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для серии  F-700
на 1 - фасад - 12 отверстий!</t>
        </r>
      </text>
    </comment>
    <comment ref="F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для серии  F-700
на 1 - фасад - 12 отверстий!</t>
        </r>
      </text>
    </comment>
  </commentList>
</comments>
</file>

<file path=xl/sharedStrings.xml><?xml version="1.0" encoding="utf-8"?>
<sst xmlns="http://schemas.openxmlformats.org/spreadsheetml/2006/main" count="523" uniqueCount="298">
  <si>
    <t>Тип профиля</t>
  </si>
  <si>
    <t>F1-33</t>
  </si>
  <si>
    <t>F1-99</t>
  </si>
  <si>
    <t>Z-A</t>
  </si>
  <si>
    <t>Латунь</t>
  </si>
  <si>
    <t>Черный</t>
  </si>
  <si>
    <t>Серебро</t>
  </si>
  <si>
    <t>Сборка</t>
  </si>
  <si>
    <t>Услуги</t>
  </si>
  <si>
    <t>Стекло</t>
  </si>
  <si>
    <t>Золото</t>
  </si>
  <si>
    <t>Hettich</t>
  </si>
  <si>
    <t>Blum</t>
  </si>
  <si>
    <t>Futurum</t>
  </si>
  <si>
    <t>F1-93</t>
  </si>
  <si>
    <t>Белый мат</t>
  </si>
  <si>
    <t>Белый гл</t>
  </si>
  <si>
    <t>Да</t>
  </si>
  <si>
    <t>Цвет профиля</t>
  </si>
  <si>
    <t>Высота А мм</t>
  </si>
  <si>
    <t>Ширина В мм</t>
  </si>
  <si>
    <t>Количество фасадов (шт)</t>
  </si>
  <si>
    <t>Стекло (м2)</t>
  </si>
  <si>
    <t>Дата заказа:</t>
  </si>
  <si>
    <t>Заказчик:</t>
  </si>
  <si>
    <t>По высоте А</t>
  </si>
  <si>
    <t>По ширине В</t>
  </si>
  <si>
    <t>Уплотнитель (мп)</t>
  </si>
  <si>
    <t>Уплотнитель (руб)</t>
  </si>
  <si>
    <t>Уплотнитель</t>
  </si>
  <si>
    <t>руб/м2</t>
  </si>
  <si>
    <t>Фурнитура</t>
  </si>
  <si>
    <t>Профиль (руб)</t>
  </si>
  <si>
    <t>Фрезеровка под петлю (шт)</t>
  </si>
  <si>
    <t>Уголок сборочный (шт)</t>
  </si>
  <si>
    <t>Уголок сборочный (руб)</t>
  </si>
  <si>
    <t>Стоимость материалов (руб)</t>
  </si>
  <si>
    <t>Стоимость услуг (руб)</t>
  </si>
  <si>
    <t>Итого (руб)</t>
  </si>
  <si>
    <t>Итого</t>
  </si>
  <si>
    <t>Расстояние Х1 мм</t>
  </si>
  <si>
    <t>Расстояние Х2 мм</t>
  </si>
  <si>
    <t>Расстояние У1 мм</t>
  </si>
  <si>
    <t>Расстояние У2 мм</t>
  </si>
  <si>
    <t>Расстояние Z1  мм</t>
  </si>
  <si>
    <t>Расстояние Z2 мм</t>
  </si>
  <si>
    <t>любой</t>
  </si>
  <si>
    <t>Профиль рамочный</t>
  </si>
  <si>
    <t>руб/ед</t>
  </si>
  <si>
    <t>руб/мп; шт (Z-B)</t>
  </si>
  <si>
    <t>Ширина профиля Z-B</t>
  </si>
  <si>
    <t>Профиль Z-A (мп)</t>
  </si>
  <si>
    <r>
      <t>Ширина В мм (</t>
    </r>
    <r>
      <rPr>
        <b/>
        <sz val="11"/>
        <color rgb="FFFF0000"/>
        <rFont val="Tahoma"/>
        <family val="2"/>
        <charset val="204"/>
      </rPr>
      <t>только для Z-B</t>
    </r>
    <r>
      <rPr>
        <b/>
        <sz val="11"/>
        <color theme="1"/>
        <rFont val="Tahoma"/>
        <family val="2"/>
        <charset val="204"/>
      </rPr>
      <t>)</t>
    </r>
  </si>
  <si>
    <t>Расчет размера вставки стекла</t>
  </si>
  <si>
    <t>Профиль F (мп)</t>
  </si>
  <si>
    <t>Изображение профиля профиля</t>
  </si>
  <si>
    <t>Профиль</t>
  </si>
  <si>
    <t>Профиль F серии</t>
  </si>
  <si>
    <t>Профиль Z-A</t>
  </si>
  <si>
    <t>Профиль Z-B</t>
  </si>
  <si>
    <t>Уголок сборочный</t>
  </si>
  <si>
    <t>Дата:</t>
  </si>
  <si>
    <t>Количество фасадов</t>
  </si>
  <si>
    <t>Подпись</t>
  </si>
  <si>
    <t>ФИО</t>
  </si>
  <si>
    <t>F1-33-S</t>
  </si>
  <si>
    <t>Цвет уплотнителя</t>
  </si>
  <si>
    <t>Тип петли</t>
  </si>
  <si>
    <t>Тип стекла (МФ)</t>
  </si>
  <si>
    <t>Тип стекла (Заказное)</t>
  </si>
  <si>
    <t>Стоимость заказного стелка руб/м2</t>
  </si>
  <si>
    <t>Прозрачный</t>
  </si>
  <si>
    <t>Стекло МФ (руб)</t>
  </si>
  <si>
    <t>Стекло заказное (руб)</t>
  </si>
  <si>
    <t>Винт М4 (шт)</t>
  </si>
  <si>
    <t>Винт М4 (руб)</t>
  </si>
  <si>
    <t>Саморез 3,5мм (шт)</t>
  </si>
  <si>
    <t>Саморез 3,5мм (руб)</t>
  </si>
  <si>
    <t>сюда цена подставляется из верхней таблицы</t>
  </si>
  <si>
    <t>Тип и цвет профиля</t>
  </si>
  <si>
    <t>Тип и цвет винтов/саморезов</t>
  </si>
  <si>
    <t>да/нет</t>
  </si>
  <si>
    <t>обязательно</t>
  </si>
  <si>
    <t>мп х периметр</t>
  </si>
  <si>
    <t>х кол пет</t>
  </si>
  <si>
    <t>Сборка рамки из алюминиевого профиля (шт)</t>
  </si>
  <si>
    <t>Сборка рамки из алюминиевого профиля (руб)</t>
  </si>
  <si>
    <t>Установка вставки в рамочный фасад (шт)</t>
  </si>
  <si>
    <t>Установка вставки в рамочный фасад (руб)</t>
  </si>
  <si>
    <t>Резка стекла прямолинейная (руб)</t>
  </si>
  <si>
    <t>Шлифование торца стекла (4-5 мм) (руб)</t>
  </si>
  <si>
    <t>Отверстие в алюминиевом рамочном профиле 5,10 мм (шт)</t>
  </si>
  <si>
    <t>Отверстие в алюминиевом рамочном профиле 5,10 мм (руб)</t>
  </si>
  <si>
    <t>Резка профиля под угол 45° (одна деталь 2 реза) (руб)</t>
  </si>
  <si>
    <t>руб/шт, мп</t>
  </si>
  <si>
    <t>Нет</t>
  </si>
  <si>
    <t>Стекло (Высота, мм)</t>
  </si>
  <si>
    <t>Стекло (Ширина, мм)</t>
  </si>
  <si>
    <t>Резка стекла прямолинейная (мп)</t>
  </si>
  <si>
    <t>Шлифование торца стекла (4-5 мм) (мп)</t>
  </si>
  <si>
    <t>Резка профиля под угол 90° (одна деталь 2 реза) (руб)</t>
  </si>
  <si>
    <t>Резка профиля под угол 45°/90° (одна деталь 2 реза) (шт)</t>
  </si>
  <si>
    <t>х2х2</t>
  </si>
  <si>
    <t>х4х2</t>
  </si>
  <si>
    <t>под уголок 2х4</t>
  </si>
  <si>
    <t>Заказ №:</t>
  </si>
  <si>
    <t>Стекло МФ
Размер (ВхШ)</t>
  </si>
  <si>
    <t xml:space="preserve">F1-33, силумин, </t>
  </si>
  <si>
    <t xml:space="preserve">F1-99, силумин, </t>
  </si>
  <si>
    <t>Винт М4</t>
  </si>
  <si>
    <t>Саморез 3,5мм</t>
  </si>
  <si>
    <t>Винт М4 х 8, потай, желтый</t>
  </si>
  <si>
    <t>Винт М4 х 8, потай, серебро</t>
  </si>
  <si>
    <t>Винт М4 х 8, потай, черный</t>
  </si>
  <si>
    <t>Саморез 3,5х25 мм желтый для Z-B</t>
  </si>
  <si>
    <t>Саморез 3,5х25 мм БЕЛЫЙ ЦИНК Z-B</t>
  </si>
  <si>
    <t>Саморез 3,5х20 мм БРОНЗА Z-B</t>
  </si>
  <si>
    <t>Стекло Лакобель черный классический 4мм (9005)</t>
  </si>
  <si>
    <t>Зеркало Бронза 4мм</t>
  </si>
  <si>
    <t>Зеркало Серебро 4мм</t>
  </si>
  <si>
    <t>Стекло б/ц 4мм</t>
  </si>
  <si>
    <t>Стекло Графит (серое) тонированное в массе 4мм</t>
  </si>
  <si>
    <t>Стекло Мателюкс Бронза 4 мм</t>
  </si>
  <si>
    <t>Стекло Мателюкс б/ц 4 мм</t>
  </si>
  <si>
    <t>Стекло Бронза тонированное в массе 4мм</t>
  </si>
  <si>
    <t>Стекло Рифленое Moru б/ц 4мм</t>
  </si>
  <si>
    <t xml:space="preserve">Стекло Рифленое Moru Grey 4мм </t>
  </si>
  <si>
    <t>Стекло Осветленное Кристалвижн 4мм</t>
  </si>
  <si>
    <t>Стекло Стопсол Феникс б/ц 4 мм</t>
  </si>
  <si>
    <t>Стекло Стопсол Феникс бронза 4мм</t>
  </si>
  <si>
    <t>Стекло Стопсол Феникс серый 4мм</t>
  </si>
  <si>
    <t>Стекло Мателюкс Графит (серое) 4мм</t>
  </si>
  <si>
    <t>Зеркало Графит (серое) 4мм</t>
  </si>
  <si>
    <t>Заявка к заказу №:</t>
  </si>
  <si>
    <t>Для навеса на стену</t>
  </si>
  <si>
    <t>Тип открывания:</t>
  </si>
  <si>
    <t>правый</t>
  </si>
  <si>
    <t>левый</t>
  </si>
  <si>
    <t>*Заполняется при не симметричном размещении петель!</t>
  </si>
  <si>
    <t>Упаковка короб (шт)</t>
  </si>
  <si>
    <t>Упаковка короб (руб)</t>
  </si>
  <si>
    <t>Упаковка картон (шт)</t>
  </si>
  <si>
    <t>Упаковка картон (руб)</t>
  </si>
  <si>
    <t>Упаковка короб (да/нет)</t>
  </si>
  <si>
    <t>Шампань</t>
  </si>
  <si>
    <t>Винт М4 х 8, потай, шампань</t>
  </si>
  <si>
    <t>БОЯРД</t>
  </si>
  <si>
    <t>F1-93 NEW</t>
  </si>
  <si>
    <t>Черный анод</t>
  </si>
  <si>
    <t>X-Black-Matt</t>
  </si>
  <si>
    <t>х кол соед профилей</t>
  </si>
  <si>
    <t>F-777</t>
  </si>
  <si>
    <t/>
  </si>
  <si>
    <t>F-993</t>
  </si>
  <si>
    <t>F-993 с ручкой 2х200</t>
  </si>
  <si>
    <t>F-793</t>
  </si>
  <si>
    <t>F-793 с ручкой</t>
  </si>
  <si>
    <t>Установка соеденительного профиля 1 шт (руб) 7226 фрез</t>
  </si>
  <si>
    <t>Установка соеденительного профиля 1 шт (руб) 7227</t>
  </si>
  <si>
    <t>Проверка (руб)</t>
  </si>
  <si>
    <t>F-993 с ручкой
2*200</t>
  </si>
  <si>
    <t>F-993-L с ручкой
1000мм</t>
  </si>
  <si>
    <t>F-993-R с ручкой
1000мм</t>
  </si>
  <si>
    <t>Соединительный 7227 для F1-99</t>
  </si>
  <si>
    <t>Соединительный 7226 для F1-93, 993</t>
  </si>
  <si>
    <t>Проверка (шт)</t>
  </si>
  <si>
    <t>Соединительный профиль</t>
  </si>
  <si>
    <t>Да/Нет</t>
  </si>
  <si>
    <t>7227 для F1-99</t>
  </si>
  <si>
    <t>7226 для F1-93/793/993</t>
  </si>
  <si>
    <t>Соединительный профиль (шт)</t>
  </si>
  <si>
    <t>Кол-во петель (шт/компл) на 1 фасаде</t>
  </si>
  <si>
    <t>Соединитель (мп)</t>
  </si>
  <si>
    <t xml:space="preserve">F-700 (2L+2R), </t>
  </si>
  <si>
    <t>F-993-R с ручкой 1000</t>
  </si>
  <si>
    <t>F-993-L с ручкой 1000</t>
  </si>
  <si>
    <t>F1-33Латунь</t>
  </si>
  <si>
    <t>F1-33Серебро</t>
  </si>
  <si>
    <t>F1-33Шампань</t>
  </si>
  <si>
    <t>F1-33Черный</t>
  </si>
  <si>
    <t>F1-33Белый мат</t>
  </si>
  <si>
    <t>F1-33Белый гл</t>
  </si>
  <si>
    <t>F1-33Золото</t>
  </si>
  <si>
    <t>F1-33Черный анод</t>
  </si>
  <si>
    <t>F1-33X-Black-Matt</t>
  </si>
  <si>
    <t>F1-33-SЛатунь</t>
  </si>
  <si>
    <t>F1-33-SСеребро</t>
  </si>
  <si>
    <t>F1-33-SЧерный</t>
  </si>
  <si>
    <t>F1-99Латунь</t>
  </si>
  <si>
    <t>F1-99Серебро</t>
  </si>
  <si>
    <t>F1-99Шампань</t>
  </si>
  <si>
    <t>F1-99Черный</t>
  </si>
  <si>
    <t>F1-99Белый мат</t>
  </si>
  <si>
    <t>F1-99Белый гл</t>
  </si>
  <si>
    <t>F1-99Черный анод</t>
  </si>
  <si>
    <t>F1-99X-Black-Matt</t>
  </si>
  <si>
    <t>F1-99Золото</t>
  </si>
  <si>
    <t>F-993X-Black-Matt</t>
  </si>
  <si>
    <t>F-993Серебро</t>
  </si>
  <si>
    <t>F-993 с ручкой 2х200X-Black-Matt</t>
  </si>
  <si>
    <t>F-993 с ручкой 2х200Серебро</t>
  </si>
  <si>
    <t>F-993-L с ручкой 1000X-Black-Matt</t>
  </si>
  <si>
    <t>F-993-L с ручкой 1000Серебро</t>
  </si>
  <si>
    <t>F-993-R с ручкой 1000X-Black-Matt</t>
  </si>
  <si>
    <t>F-993-R с ручкой 1000Серебро</t>
  </si>
  <si>
    <t>F-777X-Black-Matt</t>
  </si>
  <si>
    <t>F-777Серебро</t>
  </si>
  <si>
    <t>F-793X-Black-Matt</t>
  </si>
  <si>
    <t>F-793Серебро</t>
  </si>
  <si>
    <t>F-793 с ручкойX-Black-Matt</t>
  </si>
  <si>
    <t>F-793 с ручкойСеребро</t>
  </si>
  <si>
    <t>F1-93Латунь</t>
  </si>
  <si>
    <t>F1-93Серебро</t>
  </si>
  <si>
    <t>F1-93Черный</t>
  </si>
  <si>
    <t>F1-93Белый мат</t>
  </si>
  <si>
    <t>F1-93Золото</t>
  </si>
  <si>
    <t>F1-93 NEWчерный анод</t>
  </si>
  <si>
    <t>F1-93 NEWX-Black-Matt</t>
  </si>
  <si>
    <t>Z-AЛатунь</t>
  </si>
  <si>
    <t>Z-AСеребро</t>
  </si>
  <si>
    <t>Z-AЧерный</t>
  </si>
  <si>
    <t>F-777Золото</t>
  </si>
  <si>
    <t>F-793Золото</t>
  </si>
  <si>
    <t>F-993-L с ручкой 1000серебро</t>
  </si>
  <si>
    <t>F-993-R с ручкой 1000серебро</t>
  </si>
  <si>
    <t>F1-93 NEWЧерный анод</t>
  </si>
  <si>
    <t>Фрезеровка под петлю 99/33 (руб)</t>
  </si>
  <si>
    <t>на 1 фасад</t>
  </si>
  <si>
    <t>Петля F-700 (L+R)</t>
  </si>
  <si>
    <t>700 серия</t>
  </si>
  <si>
    <t>900 серия</t>
  </si>
  <si>
    <t>стандартная серия</t>
  </si>
  <si>
    <t>Фрезеровка под петлю F-700 (руб)</t>
  </si>
  <si>
    <t>7227 для F1-99X-Black-Matt</t>
  </si>
  <si>
    <t>7227 для F1-99черный анод</t>
  </si>
  <si>
    <t>7227 для F1-99серебро</t>
  </si>
  <si>
    <t>7226 для F1-93/793/993X-Black-Matt</t>
  </si>
  <si>
    <t>7226 для F1-93/793/993черный анод</t>
  </si>
  <si>
    <t>7226 для F1-93/793/993серебро</t>
  </si>
  <si>
    <t>учел F-700 серию</t>
  </si>
  <si>
    <t>примечания</t>
  </si>
  <si>
    <t>есть ли разница в стоимости сборки стандарного и 700 серии?</t>
  </si>
  <si>
    <t>учтена в стоимости при отсутствии сборки</t>
  </si>
  <si>
    <t>учел количество вставок при использовании соединителя</t>
  </si>
  <si>
    <t>учел количество резки при использовании соединителя</t>
  </si>
  <si>
    <t>учел количество шлифовки при использовании соединителя</t>
  </si>
  <si>
    <t>Коннектор для соединителя 7226/7227</t>
  </si>
  <si>
    <t>Коннектор для соединителя 7226/7227 (шт)</t>
  </si>
  <si>
    <t>Коннектор для соединителя 7226/7227 (руб)</t>
  </si>
  <si>
    <t>учел метраж соединителя</t>
  </si>
  <si>
    <t>учел уплотнитль с 2 сторон соединителя</t>
  </si>
  <si>
    <t>учел F-700 серию (12 винтов на фасад); учел по 4 винта на соединитель</t>
  </si>
  <si>
    <t>учел по 2 коннектора на соединитель</t>
  </si>
  <si>
    <t>учел F-700 серию (комплект уголков х4шт на фасад)</t>
  </si>
  <si>
    <t>Профиль соединительный</t>
  </si>
  <si>
    <t>Коннектор для соединителя</t>
  </si>
  <si>
    <t>А если клиент хочет разное стекло на вставки? Или вставки разного размера по высоте?</t>
  </si>
  <si>
    <t>учел F-700 серию -12отв; учел  - х8 отв на соединитель</t>
  </si>
  <si>
    <r>
      <t>Тип петли</t>
    </r>
    <r>
      <rPr>
        <b/>
        <sz val="11"/>
        <color rgb="FFFF0000"/>
        <rFont val="Tahoma"/>
        <family val="2"/>
        <charset val="204"/>
      </rPr>
      <t xml:space="preserve"> (стоимость петли не учитывается!!)</t>
    </r>
  </si>
  <si>
    <r>
      <t xml:space="preserve">учел F-700 серию, </t>
    </r>
    <r>
      <rPr>
        <b/>
        <sz val="11"/>
        <color rgb="FF0070C0"/>
        <rFont val="Tahoma"/>
        <family val="2"/>
        <charset val="204"/>
      </rPr>
      <t>нужно поправить стоимость в ячейке С259</t>
    </r>
  </si>
  <si>
    <t>Упаковка ВПП (руб)</t>
  </si>
  <si>
    <t>Упаковка ВПП (шт)</t>
  </si>
  <si>
    <t>за 1 короб</t>
  </si>
  <si>
    <t>за шт фас, по умолчанию</t>
  </si>
  <si>
    <t>за м2 фасада, по умолчанию</t>
  </si>
  <si>
    <t>по умолчанию</t>
  </si>
  <si>
    <t>если есть сборка фасада</t>
  </si>
  <si>
    <t>серии F1-93-99; Z-A</t>
  </si>
  <si>
    <t>серия 700</t>
  </si>
  <si>
    <t>серия 900</t>
  </si>
  <si>
    <t>Z-BЛатунь396</t>
  </si>
  <si>
    <t>Z-BЛатунь446</t>
  </si>
  <si>
    <t>Z-BЛатунь496</t>
  </si>
  <si>
    <t>Z-BЛатунь596</t>
  </si>
  <si>
    <t>Z-BСеребро396</t>
  </si>
  <si>
    <t>Z-BСеребро446</t>
  </si>
  <si>
    <t>Z-BСеребро496</t>
  </si>
  <si>
    <t>Z-BЧерный396</t>
  </si>
  <si>
    <t>Z-BЧерный446</t>
  </si>
  <si>
    <t>Z-BЧерный496</t>
  </si>
  <si>
    <t>Z-BЧерный596</t>
  </si>
  <si>
    <t>F-993Золото</t>
  </si>
  <si>
    <t>F-993 с ручкой 2х200Золото</t>
  </si>
  <si>
    <t>F-993-L с ручкой 1000золото</t>
  </si>
  <si>
    <t>F-993-R с ручкой 1000золото</t>
  </si>
  <si>
    <t>7227 для F1-99золото</t>
  </si>
  <si>
    <t>7227 для F1-99черный</t>
  </si>
  <si>
    <t>7227 для F1-99белый мат</t>
  </si>
  <si>
    <t>7227 для F1-99латунь</t>
  </si>
  <si>
    <t>7226 для F1-93/793/993золото</t>
  </si>
  <si>
    <t>7226 для F1-93/793/993черный</t>
  </si>
  <si>
    <t>7226 для F1-93/793/993белый мат</t>
  </si>
  <si>
    <t>7226 для F1-93/793/993латунь</t>
  </si>
  <si>
    <t>F-993-L с ручкой 1000Золото</t>
  </si>
  <si>
    <t>F-993-R с ручкой 1000Золото</t>
  </si>
  <si>
    <t>F-793 с ручкойЗолото</t>
  </si>
  <si>
    <t>Только с ручкой</t>
  </si>
  <si>
    <t>только с ручкой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</si>
</sst>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&quot;р.&quot;;[Red]\-#,##0&quot;р.&quot;"/>
    <numFmt numFmtId="165" formatCode="#,##0.00&quot;р.&quot;;[Red]\-#,##0.00&quot;р.&quot;"/>
    <numFmt numFmtId="166" formatCode="#,##0&quot;р.&quot;"/>
    <numFmt numFmtId="167" formatCode="#,##0\ &quot;₽&quot;"/>
    <numFmt numFmtId="168" formatCode="0.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rgb="FFFF0000"/>
      <name val="Tahoma"/>
      <family val="2"/>
      <charset val="204"/>
    </font>
    <font>
      <sz val="11"/>
      <color rgb="FFFF0000"/>
      <name val="Tahoma"/>
      <family val="2"/>
      <charset val="204"/>
    </font>
    <font>
      <b/>
      <sz val="1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1"/>
      <name val="Tahoma"/>
      <family val="2"/>
      <charset val="204"/>
    </font>
    <font>
      <sz val="16"/>
      <color theme="1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ahoma"/>
      <family val="2"/>
      <charset val="204"/>
    </font>
    <font>
      <b/>
      <sz val="12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rgb="FF00B050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6"/>
      <color rgb="FF00B050"/>
      <name val="Tahoma"/>
      <family val="2"/>
      <charset val="204"/>
    </font>
    <font>
      <sz val="11"/>
      <color rgb="FF0070C0"/>
      <name val="Tahoma"/>
      <family val="2"/>
      <charset val="204"/>
    </font>
    <font>
      <b/>
      <sz val="11"/>
      <color rgb="FF0070C0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hidden="1"/>
    </xf>
    <xf numFmtId="1" fontId="1" fillId="4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7" fontId="1" fillId="3" borderId="1" xfId="0" applyNumberFormat="1" applyFont="1" applyFill="1" applyBorder="1" applyAlignment="1" applyProtection="1">
      <alignment horizontal="center" vertical="center"/>
      <protection hidden="1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Fill="1" applyBorder="1"/>
    <xf numFmtId="0" fontId="1" fillId="0" borderId="0" xfId="0" applyFont="1" applyBorder="1" applyAlignment="1">
      <alignment horizontal="center"/>
    </xf>
    <xf numFmtId="2" fontId="7" fillId="4" borderId="1" xfId="0" applyNumberFormat="1" applyFont="1" applyFill="1" applyBorder="1" applyAlignment="1" applyProtection="1">
      <alignment horizontal="center" vertical="center"/>
      <protection hidden="1"/>
    </xf>
    <xf numFmtId="1" fontId="2" fillId="3" borderId="1" xfId="0" applyNumberFormat="1" applyFont="1" applyFill="1" applyBorder="1" applyAlignment="1" applyProtection="1">
      <alignment horizontal="center" vertical="center"/>
      <protection hidden="1"/>
    </xf>
    <xf numFmtId="1" fontId="5" fillId="4" borderId="1" xfId="0" applyNumberFormat="1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 applyProtection="1">
      <alignment horizontal="center" vertical="center"/>
      <protection hidden="1"/>
    </xf>
    <xf numFmtId="0" fontId="2" fillId="4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Fill="1"/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14" fontId="8" fillId="0" borderId="3" xfId="0" applyNumberFormat="1" applyFont="1" applyBorder="1"/>
    <xf numFmtId="0" fontId="11" fillId="0" borderId="1" xfId="0" applyFont="1" applyBorder="1" applyAlignment="1">
      <alignment horizontal="center" vertical="center"/>
    </xf>
    <xf numFmtId="14" fontId="9" fillId="0" borderId="3" xfId="0" applyNumberFormat="1" applyFont="1" applyBorder="1"/>
    <xf numFmtId="0" fontId="1" fillId="2" borderId="0" xfId="0" applyFont="1" applyFill="1"/>
    <xf numFmtId="0" fontId="4" fillId="0" borderId="0" xfId="0" applyFont="1"/>
    <xf numFmtId="0" fontId="13" fillId="0" borderId="0" xfId="0" applyFont="1"/>
    <xf numFmtId="0" fontId="7" fillId="0" borderId="0" xfId="0" applyFont="1"/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/>
    <xf numFmtId="164" fontId="2" fillId="0" borderId="0" xfId="0" applyNumberFormat="1" applyFont="1" applyFill="1" applyBorder="1"/>
    <xf numFmtId="2" fontId="5" fillId="4" borderId="1" xfId="0" applyNumberFormat="1" applyFont="1" applyFill="1" applyBorder="1" applyAlignment="1" applyProtection="1">
      <alignment horizontal="center" vertical="center"/>
      <protection hidden="1"/>
    </xf>
    <xf numFmtId="0" fontId="1" fillId="5" borderId="0" xfId="0" applyFont="1" applyFill="1"/>
    <xf numFmtId="0" fontId="1" fillId="6" borderId="0" xfId="0" applyFont="1" applyFill="1"/>
    <xf numFmtId="0" fontId="2" fillId="4" borderId="1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 vertical="center"/>
      <protection hidden="1"/>
    </xf>
    <xf numFmtId="1" fontId="7" fillId="3" borderId="1" xfId="0" applyNumberFormat="1" applyFont="1" applyFill="1" applyBorder="1" applyAlignment="1" applyProtection="1">
      <alignment horizontal="center" vertical="center"/>
      <protection hidden="1"/>
    </xf>
    <xf numFmtId="1" fontId="7" fillId="4" borderId="1" xfId="0" applyNumberFormat="1" applyFont="1" applyFill="1" applyBorder="1" applyAlignment="1" applyProtection="1">
      <alignment horizontal="center" vertical="center"/>
      <protection hidden="1"/>
    </xf>
    <xf numFmtId="167" fontId="1" fillId="3" borderId="1" xfId="0" applyNumberFormat="1" applyFont="1" applyFill="1" applyBorder="1" applyAlignment="1">
      <alignment horizontal="center"/>
    </xf>
    <xf numFmtId="167" fontId="2" fillId="3" borderId="1" xfId="0" applyNumberFormat="1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right"/>
      <protection locked="0"/>
    </xf>
    <xf numFmtId="0" fontId="12" fillId="0" borderId="0" xfId="0" applyFont="1" applyAlignment="1">
      <alignment horizontal="right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vertical="top"/>
    </xf>
    <xf numFmtId="0" fontId="0" fillId="0" borderId="3" xfId="0" applyBorder="1"/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68" fontId="7" fillId="4" borderId="1" xfId="0" applyNumberFormat="1" applyFont="1" applyFill="1" applyBorder="1" applyAlignment="1" applyProtection="1">
      <alignment horizontal="center" vertical="center"/>
      <protection locked="0"/>
    </xf>
    <xf numFmtId="9" fontId="2" fillId="2" borderId="1" xfId="0" applyNumberFormat="1" applyFont="1" applyFill="1" applyBorder="1"/>
    <xf numFmtId="167" fontId="2" fillId="2" borderId="1" xfId="0" applyNumberFormat="1" applyFont="1" applyFill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7" fontId="2" fillId="5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18" fillId="0" borderId="0" xfId="0" applyFont="1"/>
    <xf numFmtId="1" fontId="5" fillId="3" borderId="1" xfId="0" applyNumberFormat="1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>
      <alignment horizontal="center" vertical="center"/>
    </xf>
    <xf numFmtId="1" fontId="1" fillId="4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6" borderId="0" xfId="0" applyFont="1" applyFill="1"/>
    <xf numFmtId="0" fontId="7" fillId="0" borderId="18" xfId="0" applyFont="1" applyFill="1" applyBorder="1"/>
    <xf numFmtId="0" fontId="7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7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4" fillId="0" borderId="18" xfId="0" applyFont="1" applyFill="1" applyBorder="1"/>
    <xf numFmtId="0" fontId="24" fillId="2" borderId="18" xfId="0" applyFont="1" applyFill="1" applyBorder="1"/>
    <xf numFmtId="0" fontId="4" fillId="0" borderId="19" xfId="0" applyFont="1" applyFill="1" applyBorder="1"/>
    <xf numFmtId="0" fontId="7" fillId="0" borderId="17" xfId="0" applyFont="1" applyFill="1" applyBorder="1"/>
    <xf numFmtId="0" fontId="7" fillId="0" borderId="19" xfId="0" applyFont="1" applyFill="1" applyBorder="1"/>
    <xf numFmtId="0" fontId="3" fillId="4" borderId="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" fillId="0" borderId="12" xfId="0" applyFont="1" applyFill="1" applyBorder="1" applyAlignment="1" applyProtection="1">
      <alignment horizontal="center"/>
      <protection locked="0"/>
    </xf>
    <xf numFmtId="0" fontId="1" fillId="0" borderId="12" xfId="0" applyFont="1" applyFill="1" applyBorder="1"/>
    <xf numFmtId="0" fontId="1" fillId="0" borderId="29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left"/>
    </xf>
    <xf numFmtId="2" fontId="25" fillId="3" borderId="1" xfId="0" applyNumberFormat="1" applyFont="1" applyFill="1" applyBorder="1" applyAlignment="1" applyProtection="1">
      <alignment horizontal="center" vertical="center"/>
      <protection hidden="1"/>
    </xf>
    <xf numFmtId="0" fontId="2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3" borderId="7" xfId="0" applyFont="1" applyFill="1" applyBorder="1" applyAlignment="1">
      <alignment horizontal="center" vertical="center"/>
    </xf>
    <xf numFmtId="1" fontId="25" fillId="3" borderId="1" xfId="0" applyNumberFormat="1" applyFont="1" applyFill="1" applyBorder="1" applyAlignment="1" applyProtection="1">
      <alignment horizontal="center" vertical="center"/>
      <protection hidden="1"/>
    </xf>
    <xf numFmtId="1" fontId="3" fillId="3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locked="0"/>
    </xf>
    <xf numFmtId="1" fontId="1" fillId="3" borderId="1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>
      <alignment horizontal="center"/>
    </xf>
    <xf numFmtId="14" fontId="9" fillId="0" borderId="0" xfId="0" applyNumberFormat="1" applyFont="1" applyBorder="1"/>
    <xf numFmtId="0" fontId="10" fillId="0" borderId="0" xfId="0" applyFont="1" applyBorder="1" applyAlignment="1">
      <alignment horizontal="left"/>
    </xf>
    <xf numFmtId="0" fontId="4" fillId="0" borderId="24" xfId="0" applyFont="1" applyBorder="1" applyAlignment="1">
      <alignment horizontal="left" vertical="center"/>
    </xf>
    <xf numFmtId="0" fontId="8" fillId="0" borderId="0" xfId="0" applyFont="1" applyBorder="1" applyAlignment="1" applyProtection="1">
      <alignment horizontal="center"/>
      <protection locked="0"/>
    </xf>
    <xf numFmtId="166" fontId="19" fillId="0" borderId="20" xfId="0" applyNumberFormat="1" applyFont="1" applyFill="1" applyBorder="1" applyAlignment="1">
      <alignment horizontal="center" vertical="center"/>
    </xf>
    <xf numFmtId="166" fontId="19" fillId="0" borderId="18" xfId="0" applyNumberFormat="1" applyFont="1" applyFill="1" applyBorder="1" applyAlignment="1">
      <alignment horizontal="center" vertical="center"/>
    </xf>
    <xf numFmtId="166" fontId="19" fillId="0" borderId="21" xfId="0" applyNumberFormat="1" applyFont="1" applyFill="1" applyBorder="1" applyAlignment="1">
      <alignment horizontal="center" vertical="center"/>
    </xf>
    <xf numFmtId="166" fontId="19" fillId="0" borderId="24" xfId="0" applyNumberFormat="1" applyFont="1" applyFill="1" applyBorder="1" applyAlignment="1">
      <alignment horizontal="center" vertical="center"/>
    </xf>
    <xf numFmtId="166" fontId="19" fillId="0" borderId="19" xfId="0" applyNumberFormat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center"/>
    </xf>
    <xf numFmtId="0" fontId="19" fillId="0" borderId="27" xfId="0" applyFont="1" applyBorder="1" applyAlignment="1">
      <alignment horizontal="left" vertical="center"/>
    </xf>
    <xf numFmtId="0" fontId="19" fillId="0" borderId="30" xfId="0" applyFont="1" applyBorder="1" applyAlignment="1">
      <alignment horizontal="left" vertical="center"/>
    </xf>
    <xf numFmtId="0" fontId="19" fillId="0" borderId="31" xfId="0" applyFont="1" applyBorder="1" applyAlignment="1">
      <alignment horizontal="left" vertical="center"/>
    </xf>
    <xf numFmtId="0" fontId="19" fillId="0" borderId="32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" fillId="0" borderId="25" xfId="0" applyFont="1" applyBorder="1"/>
    <xf numFmtId="0" fontId="1" fillId="0" borderId="26" xfId="0" applyFont="1" applyBorder="1"/>
    <xf numFmtId="0" fontId="1" fillId="0" borderId="28" xfId="0" applyFont="1" applyBorder="1"/>
    <xf numFmtId="166" fontId="19" fillId="0" borderId="17" xfId="0" applyNumberFormat="1" applyFont="1" applyFill="1" applyBorder="1" applyAlignment="1">
      <alignment horizontal="center" vertical="center"/>
    </xf>
    <xf numFmtId="166" fontId="19" fillId="0" borderId="22" xfId="0" applyNumberFormat="1" applyFont="1" applyFill="1" applyBorder="1" applyAlignment="1">
      <alignment horizontal="center" vertical="center"/>
    </xf>
    <xf numFmtId="0" fontId="1" fillId="0" borderId="33" xfId="0" applyFont="1" applyBorder="1"/>
    <xf numFmtId="0" fontId="1" fillId="0" borderId="29" xfId="0" applyFont="1" applyBorder="1" applyAlignment="1">
      <alignment horizontal="center"/>
    </xf>
    <xf numFmtId="0" fontId="7" fillId="0" borderId="24" xfId="0" applyFont="1" applyFill="1" applyBorder="1" applyAlignment="1">
      <alignment horizontal="left" vertical="center"/>
    </xf>
    <xf numFmtId="0" fontId="4" fillId="0" borderId="24" xfId="0" applyFont="1" applyFill="1" applyBorder="1"/>
    <xf numFmtId="0" fontId="1" fillId="0" borderId="29" xfId="0" applyFont="1" applyFill="1" applyBorder="1"/>
    <xf numFmtId="0" fontId="1" fillId="0" borderId="29" xfId="0" applyFont="1" applyFill="1" applyBorder="1" applyAlignment="1">
      <alignment horizontal="center"/>
    </xf>
    <xf numFmtId="0" fontId="24" fillId="0" borderId="18" xfId="0" applyFont="1" applyFill="1" applyBorder="1"/>
    <xf numFmtId="0" fontId="7" fillId="0" borderId="34" xfId="0" applyFont="1" applyBorder="1"/>
    <xf numFmtId="0" fontId="7" fillId="0" borderId="25" xfId="0" applyFont="1" applyFill="1" applyBorder="1"/>
    <xf numFmtId="0" fontId="7" fillId="0" borderId="26" xfId="0" applyFont="1" applyFill="1" applyBorder="1"/>
    <xf numFmtId="0" fontId="7" fillId="0" borderId="28" xfId="0" applyFont="1" applyFill="1" applyBorder="1"/>
    <xf numFmtId="165" fontId="16" fillId="0" borderId="18" xfId="0" applyNumberFormat="1" applyFont="1" applyFill="1" applyBorder="1"/>
    <xf numFmtId="165" fontId="7" fillId="0" borderId="18" xfId="0" applyNumberFormat="1" applyFont="1" applyFill="1" applyBorder="1"/>
    <xf numFmtId="165" fontId="4" fillId="0" borderId="18" xfId="0" applyNumberFormat="1" applyFont="1" applyFill="1" applyBorder="1"/>
    <xf numFmtId="165" fontId="25" fillId="0" borderId="18" xfId="0" applyNumberFormat="1" applyFont="1" applyFill="1" applyBorder="1"/>
    <xf numFmtId="165" fontId="7" fillId="0" borderId="19" xfId="0" applyNumberFormat="1" applyFont="1" applyFill="1" applyBorder="1"/>
    <xf numFmtId="165" fontId="4" fillId="0" borderId="29" xfId="0" applyNumberFormat="1" applyFont="1" applyFill="1" applyBorder="1"/>
    <xf numFmtId="165" fontId="7" fillId="0" borderId="24" xfId="0" applyNumberFormat="1" applyFont="1" applyFill="1" applyBorder="1"/>
    <xf numFmtId="165" fontId="16" fillId="0" borderId="17" xfId="0" applyNumberFormat="1" applyFont="1" applyFill="1" applyBorder="1"/>
    <xf numFmtId="165" fontId="16" fillId="0" borderId="19" xfId="0" applyNumberFormat="1" applyFont="1" applyFill="1" applyBorder="1"/>
    <xf numFmtId="0" fontId="7" fillId="7" borderId="26" xfId="0" applyFont="1" applyFill="1" applyBorder="1"/>
    <xf numFmtId="0" fontId="4" fillId="2" borderId="26" xfId="0" applyFont="1" applyFill="1" applyBorder="1"/>
    <xf numFmtId="0" fontId="4" fillId="2" borderId="28" xfId="0" applyFont="1" applyFill="1" applyBorder="1"/>
    <xf numFmtId="164" fontId="7" fillId="2" borderId="18" xfId="0" applyNumberFormat="1" applyFont="1" applyFill="1" applyBorder="1"/>
    <xf numFmtId="164" fontId="7" fillId="2" borderId="19" xfId="0" applyNumberFormat="1" applyFont="1" applyFill="1" applyBorder="1"/>
    <xf numFmtId="0" fontId="1" fillId="0" borderId="3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2" borderId="30" xfId="0" applyFont="1" applyFill="1" applyBorder="1"/>
    <xf numFmtId="164" fontId="7" fillId="2" borderId="24" xfId="0" applyNumberFormat="1" applyFont="1" applyFill="1" applyBorder="1"/>
    <xf numFmtId="0" fontId="7" fillId="7" borderId="25" xfId="0" applyFont="1" applyFill="1" applyBorder="1"/>
    <xf numFmtId="165" fontId="4" fillId="0" borderId="17" xfId="0" applyNumberFormat="1" applyFont="1" applyFill="1" applyBorder="1"/>
    <xf numFmtId="0" fontId="7" fillId="7" borderId="28" xfId="0" applyFont="1" applyFill="1" applyBorder="1"/>
    <xf numFmtId="165" fontId="4" fillId="0" borderId="19" xfId="0" applyNumberFormat="1" applyFont="1" applyFill="1" applyBorder="1"/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4" fillId="0" borderId="23" xfId="0" applyFont="1" applyBorder="1"/>
    <xf numFmtId="0" fontId="4" fillId="0" borderId="18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4" xfId="0" applyFont="1" applyBorder="1" applyAlignment="1">
      <alignment horizontal="left" vertical="center"/>
    </xf>
    <xf numFmtId="0" fontId="1" fillId="0" borderId="24" xfId="0" applyFont="1" applyBorder="1"/>
    <xf numFmtId="0" fontId="1" fillId="0" borderId="29" xfId="0" applyFont="1" applyBorder="1"/>
    <xf numFmtId="0" fontId="7" fillId="0" borderId="30" xfId="0" applyFont="1" applyBorder="1" applyAlignment="1">
      <alignment horizontal="left" vertical="center"/>
    </xf>
    <xf numFmtId="0" fontId="7" fillId="0" borderId="33" xfId="0" applyFont="1" applyBorder="1"/>
    <xf numFmtId="0" fontId="7" fillId="0" borderId="37" xfId="0" applyFont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0" fillId="2" borderId="35" xfId="0" applyFont="1" applyFill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2" fontId="25" fillId="4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" fontId="26" fillId="4" borderId="1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2" Type="http://schemas.openxmlformats.org/officeDocument/2006/relationships/image" Target="../media/image14.emf"/><Relationship Id="rId1" Type="http://schemas.openxmlformats.org/officeDocument/2006/relationships/image" Target="../media/image13.jpeg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4" Type="http://schemas.openxmlformats.org/officeDocument/2006/relationships/image" Target="../media/image16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9.emf"/><Relationship Id="rId1" Type="http://schemas.openxmlformats.org/officeDocument/2006/relationships/image" Target="../media/image14.emf"/><Relationship Id="rId6" Type="http://schemas.openxmlformats.org/officeDocument/2006/relationships/image" Target="../media/image27.emf"/><Relationship Id="rId5" Type="http://schemas.openxmlformats.org/officeDocument/2006/relationships/image" Target="../media/image16.emf"/><Relationship Id="rId4" Type="http://schemas.openxmlformats.org/officeDocument/2006/relationships/image" Target="../media/image26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2.emf"/><Relationship Id="rId2" Type="http://schemas.openxmlformats.org/officeDocument/2006/relationships/image" Target="../media/image21.emf"/><Relationship Id="rId1" Type="http://schemas.openxmlformats.org/officeDocument/2006/relationships/image" Target="../media/image20.emf"/><Relationship Id="rId6" Type="http://schemas.openxmlformats.org/officeDocument/2006/relationships/image" Target="../media/image25.emf"/><Relationship Id="rId5" Type="http://schemas.openxmlformats.org/officeDocument/2006/relationships/image" Target="../media/image24.emf"/><Relationship Id="rId4" Type="http://schemas.openxmlformats.org/officeDocument/2006/relationships/image" Target="../media/image23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1.emf"/><Relationship Id="rId2" Type="http://schemas.openxmlformats.org/officeDocument/2006/relationships/image" Target="../media/image25.emf"/><Relationship Id="rId1" Type="http://schemas.openxmlformats.org/officeDocument/2006/relationships/image" Target="../media/image20.emf"/><Relationship Id="rId6" Type="http://schemas.openxmlformats.org/officeDocument/2006/relationships/image" Target="../media/image29.emf"/><Relationship Id="rId5" Type="http://schemas.openxmlformats.org/officeDocument/2006/relationships/image" Target="../media/image22.emf"/><Relationship Id="rId4" Type="http://schemas.openxmlformats.org/officeDocument/2006/relationships/image" Target="../media/image2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210934</xdr:colOff>
      <xdr:row>6</xdr:row>
      <xdr:rowOff>190500</xdr:rowOff>
    </xdr:from>
    <xdr:to>
      <xdr:col>1</xdr:col>
      <xdr:colOff>1247775</xdr:colOff>
      <xdr:row>6</xdr:row>
      <xdr:rowOff>1030018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84" y="6953250"/>
          <a:ext cx="1036841" cy="83951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</xdr:row>
      <xdr:rowOff>68724</xdr:rowOff>
    </xdr:from>
    <xdr:to>
      <xdr:col>1</xdr:col>
      <xdr:colOff>1352550</xdr:colOff>
      <xdr:row>2</xdr:row>
      <xdr:rowOff>1190514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4202574"/>
          <a:ext cx="1314450" cy="112179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5</xdr:row>
      <xdr:rowOff>104775</xdr:rowOff>
    </xdr:from>
    <xdr:to>
      <xdr:col>1</xdr:col>
      <xdr:colOff>1419225</xdr:colOff>
      <xdr:row>5</xdr:row>
      <xdr:rowOff>1209675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924175"/>
          <a:ext cx="1371600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1</xdr:row>
      <xdr:rowOff>28575</xdr:rowOff>
    </xdr:from>
    <xdr:to>
      <xdr:col>1</xdr:col>
      <xdr:colOff>1390651</xdr:colOff>
      <xdr:row>1</xdr:row>
      <xdr:rowOff>1264594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1533525"/>
          <a:ext cx="1314450" cy="123601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4</xdr:row>
      <xdr:rowOff>24907</xdr:rowOff>
    </xdr:from>
    <xdr:to>
      <xdr:col>1</xdr:col>
      <xdr:colOff>1409699</xdr:colOff>
      <xdr:row>4</xdr:row>
      <xdr:rowOff>1228724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4" y="215407"/>
          <a:ext cx="1381125" cy="1203817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11</xdr:row>
      <xdr:rowOff>133350</xdr:rowOff>
    </xdr:from>
    <xdr:to>
      <xdr:col>1</xdr:col>
      <xdr:colOff>1016891</xdr:colOff>
      <xdr:row>11</xdr:row>
      <xdr:rowOff>968504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10839450"/>
          <a:ext cx="740666" cy="83515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7</xdr:row>
      <xdr:rowOff>200024</xdr:rowOff>
    </xdr:from>
    <xdr:to>
      <xdr:col>1</xdr:col>
      <xdr:colOff>1085850</xdr:colOff>
      <xdr:row>7</xdr:row>
      <xdr:rowOff>1104899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5648324"/>
          <a:ext cx="7143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8</xdr:row>
      <xdr:rowOff>95250</xdr:rowOff>
    </xdr:from>
    <xdr:to>
      <xdr:col>1</xdr:col>
      <xdr:colOff>982219</xdr:colOff>
      <xdr:row>8</xdr:row>
      <xdr:rowOff>1088900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6858000"/>
          <a:ext cx="658369" cy="99365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9</xdr:row>
      <xdr:rowOff>85725</xdr:rowOff>
    </xdr:from>
    <xdr:to>
      <xdr:col>1</xdr:col>
      <xdr:colOff>991744</xdr:colOff>
      <xdr:row>9</xdr:row>
      <xdr:rowOff>1079375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8162925"/>
          <a:ext cx="658369" cy="993650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10</xdr:row>
      <xdr:rowOff>142875</xdr:rowOff>
    </xdr:from>
    <xdr:to>
      <xdr:col>1</xdr:col>
      <xdr:colOff>982219</xdr:colOff>
      <xdr:row>10</xdr:row>
      <xdr:rowOff>1136525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9534525"/>
          <a:ext cx="658369" cy="99365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12</xdr:row>
      <xdr:rowOff>190500</xdr:rowOff>
    </xdr:from>
    <xdr:to>
      <xdr:col>1</xdr:col>
      <xdr:colOff>1009650</xdr:colOff>
      <xdr:row>12</xdr:row>
      <xdr:rowOff>1031750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2211050"/>
          <a:ext cx="647700" cy="84125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13</xdr:row>
      <xdr:rowOff>95250</xdr:rowOff>
    </xdr:from>
    <xdr:to>
      <xdr:col>1</xdr:col>
      <xdr:colOff>1012318</xdr:colOff>
      <xdr:row>13</xdr:row>
      <xdr:rowOff>1113284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3430250"/>
          <a:ext cx="697993" cy="10180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14</xdr:row>
      <xdr:rowOff>171450</xdr:rowOff>
    </xdr:from>
    <xdr:to>
      <xdr:col>1</xdr:col>
      <xdr:colOff>1019175</xdr:colOff>
      <xdr:row>14</xdr:row>
      <xdr:rowOff>918212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14820900"/>
          <a:ext cx="638175" cy="746762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352426</xdr:colOff>
      <xdr:row>15</xdr:row>
      <xdr:rowOff>152400</xdr:rowOff>
    </xdr:from>
    <xdr:to>
      <xdr:col>1</xdr:col>
      <xdr:colOff>742950</xdr:colOff>
      <xdr:row>15</xdr:row>
      <xdr:rowOff>880873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16116300"/>
          <a:ext cx="390524" cy="7284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</xdr:row>
      <xdr:rowOff>68724</xdr:rowOff>
    </xdr:from>
    <xdr:to>
      <xdr:col>1</xdr:col>
      <xdr:colOff>1352550</xdr:colOff>
      <xdr:row>3</xdr:row>
      <xdr:rowOff>1190514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4202574"/>
          <a:ext cx="1314450" cy="1121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207168</xdr:colOff>
      <xdr:row>9</xdr:row>
      <xdr:rowOff>676162</xdr:rowOff>
    </xdr:from>
    <xdr:to>
      <xdr:col>12</xdr:col>
      <xdr:colOff>451580</xdr:colOff>
      <xdr:row>24</xdr:row>
      <xdr:rowOff>92869</xdr:rowOff>
    </xdr:to>
    <xdr:pic>
      <xdr:nvPicPr>
        <xdr:cNvPr id="2" name="Рисунок 1" descr="Снимок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94168" y="1985850"/>
          <a:ext cx="2923318" cy="48816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504825</xdr:colOff>
          <xdr:row>9</xdr:row>
          <xdr:rowOff>47625</xdr:rowOff>
        </xdr:from>
        <xdr:to>
          <xdr:col>2</xdr:col>
          <xdr:colOff>1428750</xdr:colOff>
          <xdr:row>9</xdr:row>
          <xdr:rowOff>752475</xdr:rowOff>
        </xdr:to>
        <xdr:pic>
          <xdr:nvPicPr>
            <xdr:cNvPr id="6888" name="Picture 12"/>
            <xdr:cNvPicPr>
              <a:picLocks noChangeAspect="1" noChangeArrowheads="1"/>
              <a:extLst>
                <a:ext uri="{84589F7E-364E-4C9E-8A38-B11213B215E9}">
                  <a14:cameraTool cellRange="к1" spid="_x0000_s695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953000" y="2152650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9</xdr:row>
          <xdr:rowOff>76200</xdr:rowOff>
        </xdr:from>
        <xdr:to>
          <xdr:col>4</xdr:col>
          <xdr:colOff>1428750</xdr:colOff>
          <xdr:row>9</xdr:row>
          <xdr:rowOff>781050</xdr:rowOff>
        </xdr:to>
        <xdr:pic>
          <xdr:nvPicPr>
            <xdr:cNvPr id="6890" name="Picture 594"/>
            <xdr:cNvPicPr>
              <a:picLocks noChangeAspect="1" noChangeArrowheads="1"/>
              <a:extLst>
                <a:ext uri="{84589F7E-364E-4C9E-8A38-B11213B215E9}">
                  <a14:cameraTool cellRange="к2" spid="_x0000_s696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9029700" y="2181225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504825</xdr:colOff>
          <xdr:row>9</xdr:row>
          <xdr:rowOff>47625</xdr:rowOff>
        </xdr:from>
        <xdr:to>
          <xdr:col>6</xdr:col>
          <xdr:colOff>1428750</xdr:colOff>
          <xdr:row>9</xdr:row>
          <xdr:rowOff>752475</xdr:rowOff>
        </xdr:to>
        <xdr:pic>
          <xdr:nvPicPr>
            <xdr:cNvPr id="6900" name="Picture 1780"/>
            <xdr:cNvPicPr>
              <a:picLocks noChangeAspect="1" noChangeArrowheads="1"/>
              <a:extLst>
                <a:ext uri="{84589F7E-364E-4C9E-8A38-B11213B215E9}">
                  <a14:cameraTool cellRange="к3" spid="_x0000_s696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801600" y="2152650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9</xdr:row>
          <xdr:rowOff>76200</xdr:rowOff>
        </xdr:from>
        <xdr:to>
          <xdr:col>5</xdr:col>
          <xdr:colOff>1428750</xdr:colOff>
          <xdr:row>9</xdr:row>
          <xdr:rowOff>781050</xdr:rowOff>
        </xdr:to>
        <xdr:pic>
          <xdr:nvPicPr>
            <xdr:cNvPr id="6903" name="Picture 1783"/>
            <xdr:cNvPicPr>
              <a:picLocks noChangeAspect="1" noChangeArrowheads="1"/>
              <a:extLst>
                <a:ext uri="{84589F7E-364E-4C9E-8A38-B11213B215E9}">
                  <a14:cameraTool cellRange="_k4" spid="_x0000_s6962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10915650" y="2181225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504825</xdr:colOff>
          <xdr:row>9</xdr:row>
          <xdr:rowOff>47625</xdr:rowOff>
        </xdr:from>
        <xdr:to>
          <xdr:col>7</xdr:col>
          <xdr:colOff>1428750</xdr:colOff>
          <xdr:row>9</xdr:row>
          <xdr:rowOff>752475</xdr:rowOff>
        </xdr:to>
        <xdr:pic>
          <xdr:nvPicPr>
            <xdr:cNvPr id="6904" name="Picture 1784"/>
            <xdr:cNvPicPr>
              <a:picLocks noChangeAspect="1" noChangeArrowheads="1"/>
              <a:extLst>
                <a:ext uri="{84589F7E-364E-4C9E-8A38-B11213B215E9}">
                  <a14:cameraTool cellRange="_k6" spid="_x0000_s6963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4687550" y="2152650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9</xdr:row>
          <xdr:rowOff>47625</xdr:rowOff>
        </xdr:from>
        <xdr:to>
          <xdr:col>3</xdr:col>
          <xdr:colOff>1428750</xdr:colOff>
          <xdr:row>9</xdr:row>
          <xdr:rowOff>752475</xdr:rowOff>
        </xdr:to>
        <xdr:pic>
          <xdr:nvPicPr>
            <xdr:cNvPr id="6905" name="Picture 1785"/>
            <xdr:cNvPicPr>
              <a:picLocks noChangeAspect="1" noChangeArrowheads="1"/>
              <a:extLst>
                <a:ext uri="{84589F7E-364E-4C9E-8A38-B11213B215E9}">
                  <a14:cameraTool cellRange="_k5" spid="_x0000_s6964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7143750" y="2152650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5</xdr:row>
          <xdr:rowOff>47625</xdr:rowOff>
        </xdr:from>
        <xdr:to>
          <xdr:col>2</xdr:col>
          <xdr:colOff>1419225</xdr:colOff>
          <xdr:row>5</xdr:row>
          <xdr:rowOff>752475</xdr:rowOff>
        </xdr:to>
        <xdr:pic>
          <xdr:nvPicPr>
            <xdr:cNvPr id="10778" name="Picture 12"/>
            <xdr:cNvPicPr>
              <a:picLocks noChangeAspect="1" noChangeArrowheads="1"/>
              <a:extLst>
                <a:ext uri="{84589F7E-364E-4C9E-8A38-B11213B215E9}">
                  <a14:cameraTool cellRange="к1" spid="_x0000_s108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238500" y="1362075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5</xdr:row>
          <xdr:rowOff>57150</xdr:rowOff>
        </xdr:from>
        <xdr:to>
          <xdr:col>3</xdr:col>
          <xdr:colOff>1362075</xdr:colOff>
          <xdr:row>5</xdr:row>
          <xdr:rowOff>762000</xdr:rowOff>
        </xdr:to>
        <xdr:pic>
          <xdr:nvPicPr>
            <xdr:cNvPr id="10780" name="Picture 1564"/>
            <xdr:cNvPicPr>
              <a:picLocks noChangeAspect="1" noChangeArrowheads="1"/>
              <a:extLst>
                <a:ext uri="{84589F7E-364E-4C9E-8A38-B11213B215E9}">
                  <a14:cameraTool cellRange="_k5" spid="_x0000_s1082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019675" y="1371600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</xdr:row>
          <xdr:rowOff>66675</xdr:rowOff>
        </xdr:from>
        <xdr:to>
          <xdr:col>4</xdr:col>
          <xdr:colOff>1343025</xdr:colOff>
          <xdr:row>5</xdr:row>
          <xdr:rowOff>771525</xdr:rowOff>
        </xdr:to>
        <xdr:pic>
          <xdr:nvPicPr>
            <xdr:cNvPr id="10781" name="Picture 594"/>
            <xdr:cNvPicPr>
              <a:picLocks noChangeAspect="1" noChangeArrowheads="1"/>
              <a:extLst>
                <a:ext uri="{84589F7E-364E-4C9E-8A38-B11213B215E9}">
                  <a14:cameraTool cellRange="к2" spid="_x0000_s1082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838950" y="1381125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5</xdr:row>
          <xdr:rowOff>76200</xdr:rowOff>
        </xdr:from>
        <xdr:to>
          <xdr:col>5</xdr:col>
          <xdr:colOff>1343025</xdr:colOff>
          <xdr:row>5</xdr:row>
          <xdr:rowOff>781050</xdr:rowOff>
        </xdr:to>
        <xdr:pic>
          <xdr:nvPicPr>
            <xdr:cNvPr id="10782" name="Picture 1566"/>
            <xdr:cNvPicPr>
              <a:picLocks noChangeAspect="1" noChangeArrowheads="1"/>
              <a:extLst>
                <a:ext uri="{84589F7E-364E-4C9E-8A38-B11213B215E9}">
                  <a14:cameraTool cellRange="_k4" spid="_x0000_s1083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8677275" y="1390650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5</xdr:row>
          <xdr:rowOff>85725</xdr:rowOff>
        </xdr:from>
        <xdr:to>
          <xdr:col>6</xdr:col>
          <xdr:colOff>1323975</xdr:colOff>
          <xdr:row>5</xdr:row>
          <xdr:rowOff>790575</xdr:rowOff>
        </xdr:to>
        <xdr:pic>
          <xdr:nvPicPr>
            <xdr:cNvPr id="10783" name="Picture 1567"/>
            <xdr:cNvPicPr>
              <a:picLocks noChangeAspect="1" noChangeArrowheads="1"/>
              <a:extLst>
                <a:ext uri="{84589F7E-364E-4C9E-8A38-B11213B215E9}">
                  <a14:cameraTool cellRange="к3" spid="_x0000_s10831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10496550" y="1400175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5</xdr:row>
          <xdr:rowOff>38100</xdr:rowOff>
        </xdr:from>
        <xdr:to>
          <xdr:col>7</xdr:col>
          <xdr:colOff>1362075</xdr:colOff>
          <xdr:row>5</xdr:row>
          <xdr:rowOff>742950</xdr:rowOff>
        </xdr:to>
        <xdr:pic>
          <xdr:nvPicPr>
            <xdr:cNvPr id="10784" name="Picture 1568"/>
            <xdr:cNvPicPr>
              <a:picLocks noChangeAspect="1" noChangeArrowheads="1"/>
              <a:extLst>
                <a:ext uri="{84589F7E-364E-4C9E-8A38-B11213B215E9}">
                  <a14:cameraTool cellRange="_k6" spid="_x0000_s10832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2372975" y="1352550"/>
              <a:ext cx="923925" cy="7048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9525</xdr:rowOff>
    </xdr:from>
    <xdr:to>
      <xdr:col>4</xdr:col>
      <xdr:colOff>608743</xdr:colOff>
      <xdr:row>28</xdr:row>
      <xdr:rowOff>128701</xdr:rowOff>
    </xdr:to>
    <xdr:pic>
      <xdr:nvPicPr>
        <xdr:cNvPr id="3" name="Рисунок 2" descr="Снимок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3025" y="581025"/>
          <a:ext cx="2923318" cy="4881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16"/>
  <sheetViews>
    <sheetView workbookViewId="0">
      <selection activeCell="B6" sqref="B6"/>
    </sheetView>
  </sheetViews>
  <sheetFormatPr defaultRowHeight="15" x14ac:dyDescent="0.25"/>
  <cols>
    <col min="1" max="1" width="10.5703125" customWidth="1"/>
    <col min="2" max="2" width="21.7109375" customWidth="1"/>
  </cols>
  <sheetData>
    <row r="1" spans="1:2" ht="15.75" thickBot="1" x14ac:dyDescent="0.3"/>
    <row r="2" spans="1:2" ht="103.5" customHeight="1" x14ac:dyDescent="0.25">
      <c r="A2" s="105" t="s">
        <v>2</v>
      </c>
      <c r="B2" s="106"/>
    </row>
    <row r="3" spans="1:2" ht="103.5" customHeight="1" x14ac:dyDescent="0.25">
      <c r="A3" s="107" t="s">
        <v>14</v>
      </c>
      <c r="B3" s="102"/>
    </row>
    <row r="4" spans="1:2" ht="103.5" customHeight="1" x14ac:dyDescent="0.25">
      <c r="A4" s="107" t="s">
        <v>147</v>
      </c>
      <c r="B4" s="102"/>
    </row>
    <row r="5" spans="1:2" ht="103.5" customHeight="1" x14ac:dyDescent="0.25">
      <c r="A5" s="107" t="s">
        <v>1</v>
      </c>
      <c r="B5" s="108">
        <v>5</v>
      </c>
    </row>
    <row r="6" spans="1:2" ht="103.5" customHeight="1" x14ac:dyDescent="0.25">
      <c r="A6" s="107" t="s">
        <v>65</v>
      </c>
      <c r="B6" s="108"/>
    </row>
    <row r="7" spans="1:2" ht="103.5" customHeight="1" thickBot="1" x14ac:dyDescent="0.3">
      <c r="A7" s="109" t="s">
        <v>3</v>
      </c>
      <c r="B7" s="104"/>
    </row>
    <row r="8" spans="1:2" ht="103.5" customHeight="1" x14ac:dyDescent="0.25">
      <c r="A8" s="105" t="s">
        <v>153</v>
      </c>
      <c r="B8" s="100"/>
    </row>
    <row r="9" spans="1:2" ht="103.5" customHeight="1" x14ac:dyDescent="0.25">
      <c r="A9" s="101" t="s">
        <v>160</v>
      </c>
      <c r="B9" s="102"/>
    </row>
    <row r="10" spans="1:2" ht="103.5" customHeight="1" x14ac:dyDescent="0.25">
      <c r="A10" s="101" t="s">
        <v>161</v>
      </c>
      <c r="B10" s="102"/>
    </row>
    <row r="11" spans="1:2" ht="103.5" customHeight="1" thickBot="1" x14ac:dyDescent="0.3">
      <c r="A11" s="103" t="s">
        <v>162</v>
      </c>
      <c r="B11" s="104"/>
    </row>
    <row r="12" spans="1:2" ht="103.5" customHeight="1" x14ac:dyDescent="0.25">
      <c r="A12" s="99" t="s">
        <v>151</v>
      </c>
      <c r="B12" s="100"/>
    </row>
    <row r="13" spans="1:2" ht="103.5" customHeight="1" x14ac:dyDescent="0.25">
      <c r="A13" s="101" t="s">
        <v>155</v>
      </c>
      <c r="B13" s="102"/>
    </row>
    <row r="14" spans="1:2" ht="103.5" customHeight="1" thickBot="1" x14ac:dyDescent="0.3">
      <c r="A14" s="103" t="s">
        <v>156</v>
      </c>
      <c r="B14" s="104"/>
    </row>
    <row r="15" spans="1:2" ht="103.5" customHeight="1" x14ac:dyDescent="0.25">
      <c r="A15" s="99" t="s">
        <v>163</v>
      </c>
      <c r="B15" s="100"/>
    </row>
    <row r="16" spans="1:2" ht="103.5" customHeight="1" thickBot="1" x14ac:dyDescent="0.3">
      <c r="A16" s="103" t="s">
        <v>164</v>
      </c>
      <c r="B16" s="10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rgb="FFFF0000"/>
    <outlinePr summaryBelow="0"/>
    <pageSetUpPr fitToPage="1"/>
  </sheetPr>
  <dimension ref="A1:S447"/>
  <sheetViews>
    <sheetView tabSelected="1" topLeftCell="A16" zoomScale="80" zoomScaleNormal="80" workbookViewId="0">
      <selection activeCell="I451" sqref="I451"/>
    </sheetView>
  </sheetViews>
  <sheetFormatPr defaultRowHeight="15" outlineLevelRow="2" x14ac:dyDescent="0.25"/>
  <cols>
    <col min="1" max="1" width="4" customWidth="1"/>
    <col min="2" max="2" width="62.7109375" customWidth="1"/>
    <col min="3" max="3" width="32.85546875" customWidth="1"/>
    <col min="4" max="8" width="28.28515625" customWidth="1"/>
    <col min="9" max="9" width="9.140625" customWidth="1"/>
    <col min="10" max="10" width="12.85546875" customWidth="1"/>
    <col min="11" max="20" width="9.140625" customWidth="1"/>
  </cols>
  <sheetData>
    <row r="1" spans="2:8" s="2" customFormat="1" ht="19.5" customHeight="1" x14ac:dyDescent="0.2"/>
    <row r="2" spans="2:8" s="2" customFormat="1" ht="19.5" x14ac:dyDescent="0.25">
      <c r="B2" s="3" t="s">
        <v>23</v>
      </c>
      <c r="C2" s="44">
        <f ca="1">TODAY()</f>
        <v>46310</v>
      </c>
      <c r="D2" s="12"/>
    </row>
    <row r="3" spans="2:8" s="2" customFormat="1" ht="14.25" x14ac:dyDescent="0.2">
      <c r="B3" s="13"/>
      <c r="C3" s="13"/>
      <c r="D3" s="13"/>
      <c r="E3" s="3"/>
    </row>
    <row r="4" spans="2:8" s="2" customFormat="1" ht="18" x14ac:dyDescent="0.25">
      <c r="B4" s="67" t="s">
        <v>105</v>
      </c>
      <c r="C4" s="73"/>
      <c r="D4" s="13"/>
      <c r="E4" s="3"/>
    </row>
    <row r="5" spans="2:8" s="2" customFormat="1" ht="19.5" customHeight="1" x14ac:dyDescent="0.2">
      <c r="B5" s="13"/>
      <c r="C5" s="13"/>
      <c r="D5" s="13"/>
      <c r="E5" s="3"/>
    </row>
    <row r="6" spans="2:8" s="2" customFormat="1" ht="19.5" x14ac:dyDescent="0.25">
      <c r="B6" s="68" t="s">
        <v>24</v>
      </c>
      <c r="C6" s="229"/>
      <c r="D6" s="229"/>
      <c r="E6" s="123"/>
    </row>
    <row r="7" spans="2:8" s="2" customFormat="1" ht="19.5" x14ac:dyDescent="0.25">
      <c r="B7" s="68"/>
      <c r="C7" s="144"/>
      <c r="D7" s="144"/>
      <c r="E7" s="123"/>
      <c r="F7" s="227" t="s">
        <v>297</v>
      </c>
      <c r="H7" s="227" t="s">
        <v>296</v>
      </c>
    </row>
    <row r="8" spans="2:8" s="2" customFormat="1" thickBot="1" x14ac:dyDescent="0.25">
      <c r="B8" s="13"/>
      <c r="C8" s="138" t="s">
        <v>267</v>
      </c>
      <c r="D8" s="138" t="s">
        <v>267</v>
      </c>
      <c r="E8" s="138" t="s">
        <v>268</v>
      </c>
      <c r="F8" s="138" t="s">
        <v>268</v>
      </c>
      <c r="G8" s="138" t="s">
        <v>269</v>
      </c>
      <c r="H8" s="138" t="s">
        <v>269</v>
      </c>
    </row>
    <row r="9" spans="2:8" s="2" customFormat="1" ht="21" customHeight="1" thickBot="1" x14ac:dyDescent="0.25">
      <c r="B9" s="119" t="s">
        <v>0</v>
      </c>
      <c r="C9" s="122" t="s">
        <v>3</v>
      </c>
      <c r="D9" s="122" t="s">
        <v>2</v>
      </c>
      <c r="E9" s="122" t="s">
        <v>155</v>
      </c>
      <c r="F9" s="228" t="s">
        <v>156</v>
      </c>
      <c r="G9" s="228" t="s">
        <v>153</v>
      </c>
      <c r="H9" s="122" t="s">
        <v>175</v>
      </c>
    </row>
    <row r="10" spans="2:8" s="2" customFormat="1" ht="64.5" customHeight="1" x14ac:dyDescent="0.2">
      <c r="B10" s="75" t="s">
        <v>55</v>
      </c>
      <c r="C10" s="120"/>
      <c r="D10" s="120"/>
      <c r="E10" s="120"/>
      <c r="F10" s="120"/>
      <c r="G10" s="121"/>
      <c r="H10" s="121"/>
    </row>
    <row r="11" spans="2:8" s="2" customFormat="1" ht="21" customHeight="1" x14ac:dyDescent="0.2">
      <c r="B11" s="5" t="s">
        <v>18</v>
      </c>
      <c r="C11" s="14" t="s">
        <v>4</v>
      </c>
      <c r="D11" s="14" t="s">
        <v>149</v>
      </c>
      <c r="E11" s="14" t="s">
        <v>149</v>
      </c>
      <c r="F11" s="14" t="s">
        <v>149</v>
      </c>
      <c r="G11" s="14" t="s">
        <v>149</v>
      </c>
      <c r="H11" s="14" t="s">
        <v>149</v>
      </c>
    </row>
    <row r="12" spans="2:8" s="2" customFormat="1" ht="21" customHeight="1" x14ac:dyDescent="0.2">
      <c r="B12" s="5" t="s">
        <v>19</v>
      </c>
      <c r="C12" s="14">
        <v>910</v>
      </c>
      <c r="D12" s="14">
        <v>1800</v>
      </c>
      <c r="E12" s="14">
        <v>2095</v>
      </c>
      <c r="F12" s="14">
        <v>2000</v>
      </c>
      <c r="G12" s="14">
        <v>2095</v>
      </c>
      <c r="H12" s="14">
        <v>2095</v>
      </c>
    </row>
    <row r="13" spans="2:8" s="2" customFormat="1" ht="21" customHeight="1" x14ac:dyDescent="0.2">
      <c r="B13" s="5" t="s">
        <v>20</v>
      </c>
      <c r="C13" s="14"/>
      <c r="D13" s="14">
        <v>460</v>
      </c>
      <c r="E13" s="14">
        <v>471</v>
      </c>
      <c r="F13" s="14">
        <v>400</v>
      </c>
      <c r="G13" s="14">
        <v>471</v>
      </c>
      <c r="H13" s="14">
        <v>471</v>
      </c>
    </row>
    <row r="14" spans="2:8" s="2" customFormat="1" ht="21" customHeight="1" x14ac:dyDescent="0.2">
      <c r="B14" s="5" t="s">
        <v>52</v>
      </c>
      <c r="C14" s="14">
        <v>446</v>
      </c>
      <c r="D14" s="14"/>
      <c r="E14" s="14"/>
      <c r="F14" s="14"/>
      <c r="G14" s="14"/>
      <c r="H14" s="14"/>
    </row>
    <row r="15" spans="2:8" s="2" customFormat="1" ht="21" customHeight="1" x14ac:dyDescent="0.2">
      <c r="B15" s="5" t="s">
        <v>166</v>
      </c>
      <c r="C15" s="14"/>
      <c r="D15" s="14"/>
      <c r="E15" s="14"/>
      <c r="F15" s="14"/>
      <c r="G15" s="14" t="s">
        <v>169</v>
      </c>
      <c r="H15" s="14"/>
    </row>
    <row r="16" spans="2:8" s="2" customFormat="1" ht="21" customHeight="1" x14ac:dyDescent="0.2">
      <c r="B16" s="5" t="s">
        <v>170</v>
      </c>
      <c r="C16" s="14"/>
      <c r="D16" s="14"/>
      <c r="E16" s="14"/>
      <c r="F16" s="14"/>
      <c r="G16" s="14">
        <v>3</v>
      </c>
      <c r="H16" s="14"/>
    </row>
    <row r="17" spans="2:13" s="2" customFormat="1" ht="57" customHeight="1" x14ac:dyDescent="0.2">
      <c r="B17" s="5" t="s">
        <v>68</v>
      </c>
      <c r="C17" s="76" t="s">
        <v>120</v>
      </c>
      <c r="D17" s="76" t="s">
        <v>121</v>
      </c>
      <c r="E17" s="76" t="s">
        <v>121</v>
      </c>
      <c r="F17" s="76" t="s">
        <v>121</v>
      </c>
      <c r="G17" s="76"/>
      <c r="H17" s="76" t="s">
        <v>121</v>
      </c>
    </row>
    <row r="18" spans="2:13" s="2" customFormat="1" ht="57" customHeight="1" x14ac:dyDescent="0.2">
      <c r="B18" s="5" t="s">
        <v>69</v>
      </c>
      <c r="C18" s="76"/>
      <c r="D18" s="76"/>
      <c r="E18" s="76"/>
      <c r="F18" s="76"/>
      <c r="G18" s="76"/>
      <c r="H18" s="76"/>
    </row>
    <row r="19" spans="2:13" s="2" customFormat="1" ht="24.75" customHeight="1" x14ac:dyDescent="0.2">
      <c r="B19" s="5" t="s">
        <v>70</v>
      </c>
      <c r="C19" s="37"/>
      <c r="D19" s="37"/>
      <c r="E19" s="37"/>
      <c r="F19" s="37"/>
      <c r="G19" s="37"/>
      <c r="H19" s="37"/>
    </row>
    <row r="20" spans="2:13" s="2" customFormat="1" ht="21" customHeight="1" x14ac:dyDescent="0.2">
      <c r="B20" s="5" t="s">
        <v>40</v>
      </c>
      <c r="C20" s="14"/>
      <c r="D20" s="14"/>
      <c r="E20" s="14"/>
      <c r="F20" s="14"/>
      <c r="G20" s="14"/>
      <c r="H20" s="14"/>
    </row>
    <row r="21" spans="2:13" s="2" customFormat="1" ht="21" customHeight="1" x14ac:dyDescent="0.2">
      <c r="B21" s="5" t="s">
        <v>41</v>
      </c>
      <c r="C21" s="14"/>
      <c r="D21" s="14"/>
      <c r="E21" s="14"/>
      <c r="F21" s="14"/>
      <c r="G21" s="14"/>
      <c r="H21" s="14"/>
    </row>
    <row r="22" spans="2:13" s="2" customFormat="1" ht="21" customHeight="1" x14ac:dyDescent="0.2">
      <c r="B22" s="5" t="s">
        <v>42</v>
      </c>
      <c r="C22" s="6"/>
      <c r="D22" s="6"/>
      <c r="E22" s="6"/>
      <c r="F22" s="6"/>
      <c r="G22" s="6"/>
      <c r="H22" s="6"/>
    </row>
    <row r="23" spans="2:13" s="2" customFormat="1" ht="21" customHeight="1" x14ac:dyDescent="0.2">
      <c r="B23" s="5" t="s">
        <v>43</v>
      </c>
      <c r="C23" s="6"/>
      <c r="D23" s="6"/>
      <c r="E23" s="6"/>
      <c r="F23" s="6"/>
      <c r="G23" s="6"/>
      <c r="H23" s="6"/>
    </row>
    <row r="24" spans="2:13" s="2" customFormat="1" ht="21" customHeight="1" x14ac:dyDescent="0.2">
      <c r="B24" s="5" t="s">
        <v>44</v>
      </c>
      <c r="C24" s="6"/>
      <c r="D24" s="6"/>
      <c r="E24" s="6"/>
      <c r="F24" s="6"/>
      <c r="G24" s="6"/>
      <c r="H24" s="6"/>
    </row>
    <row r="25" spans="2:13" s="2" customFormat="1" ht="21" customHeight="1" x14ac:dyDescent="0.2">
      <c r="B25" s="5" t="s">
        <v>45</v>
      </c>
      <c r="C25" s="6"/>
      <c r="D25" s="6"/>
      <c r="E25" s="6"/>
      <c r="F25" s="6"/>
      <c r="G25" s="6"/>
      <c r="H25" s="6"/>
      <c r="M25" s="7"/>
    </row>
    <row r="26" spans="2:13" s="2" customFormat="1" ht="21" customHeight="1" x14ac:dyDescent="0.2">
      <c r="B26" s="5" t="s">
        <v>171</v>
      </c>
      <c r="C26" s="14">
        <v>3</v>
      </c>
      <c r="D26" s="14">
        <v>4</v>
      </c>
      <c r="E26" s="128">
        <v>1</v>
      </c>
      <c r="F26" s="128">
        <v>1</v>
      </c>
      <c r="G26" s="14">
        <v>2</v>
      </c>
      <c r="H26" s="14">
        <v>3</v>
      </c>
    </row>
    <row r="27" spans="2:13" s="2" customFormat="1" ht="21" customHeight="1" x14ac:dyDescent="0.2">
      <c r="B27" s="5" t="s">
        <v>258</v>
      </c>
      <c r="C27" s="14" t="s">
        <v>13</v>
      </c>
      <c r="D27" s="14" t="s">
        <v>13</v>
      </c>
      <c r="E27" s="14" t="s">
        <v>228</v>
      </c>
      <c r="F27" s="14" t="s">
        <v>228</v>
      </c>
      <c r="G27" s="14" t="s">
        <v>13</v>
      </c>
      <c r="H27" s="14" t="s">
        <v>13</v>
      </c>
    </row>
    <row r="28" spans="2:13" s="2" customFormat="1" ht="21" customHeight="1" x14ac:dyDescent="0.2">
      <c r="B28" s="5" t="s">
        <v>66</v>
      </c>
      <c r="C28" s="14" t="s">
        <v>71</v>
      </c>
      <c r="D28" s="14" t="s">
        <v>5</v>
      </c>
      <c r="E28" s="14" t="s">
        <v>5</v>
      </c>
      <c r="F28" s="14" t="s">
        <v>5</v>
      </c>
      <c r="G28" s="14" t="s">
        <v>5</v>
      </c>
      <c r="H28" s="14" t="s">
        <v>5</v>
      </c>
    </row>
    <row r="29" spans="2:13" s="2" customFormat="1" ht="21" customHeight="1" x14ac:dyDescent="0.2">
      <c r="B29" s="5" t="s">
        <v>21</v>
      </c>
      <c r="C29" s="14">
        <v>1</v>
      </c>
      <c r="D29" s="14">
        <v>1</v>
      </c>
      <c r="E29" s="14">
        <v>1</v>
      </c>
      <c r="F29" s="14"/>
      <c r="G29" s="14">
        <v>2</v>
      </c>
      <c r="H29" s="14"/>
      <c r="J29" s="4"/>
    </row>
    <row r="30" spans="2:13" s="2" customFormat="1" ht="24.75" customHeight="1" x14ac:dyDescent="0.2">
      <c r="B30" s="5" t="s">
        <v>7</v>
      </c>
      <c r="C30" s="14" t="s">
        <v>17</v>
      </c>
      <c r="D30" s="14" t="s">
        <v>17</v>
      </c>
      <c r="E30" s="14" t="s">
        <v>17</v>
      </c>
      <c r="F30" s="14" t="s">
        <v>17</v>
      </c>
      <c r="G30" s="14" t="s">
        <v>95</v>
      </c>
      <c r="H30" s="14" t="s">
        <v>95</v>
      </c>
      <c r="M30" s="7"/>
    </row>
    <row r="31" spans="2:13" s="2" customFormat="1" ht="20.25" customHeight="1" x14ac:dyDescent="0.2">
      <c r="B31" s="5" t="s">
        <v>143</v>
      </c>
      <c r="C31" s="14" t="s">
        <v>95</v>
      </c>
      <c r="D31" s="14" t="s">
        <v>95</v>
      </c>
      <c r="E31" s="14" t="s">
        <v>17</v>
      </c>
      <c r="F31" s="14" t="s">
        <v>95</v>
      </c>
      <c r="G31" s="14"/>
      <c r="H31" s="14"/>
      <c r="M31" s="7"/>
    </row>
    <row r="32" spans="2:13" s="2" customFormat="1" ht="33.75" customHeight="1" x14ac:dyDescent="0.2">
      <c r="B32" s="5" t="s">
        <v>139</v>
      </c>
      <c r="C32" s="14"/>
      <c r="D32" s="14"/>
      <c r="E32" s="14"/>
      <c r="F32" s="14">
        <v>0</v>
      </c>
      <c r="G32" s="14"/>
      <c r="H32" s="14"/>
      <c r="I32" s="80"/>
      <c r="J32" s="17" t="s">
        <v>39</v>
      </c>
      <c r="M32" s="7"/>
    </row>
    <row r="33" spans="2:19" s="2" customFormat="1" ht="21" customHeight="1" x14ac:dyDescent="0.2">
      <c r="B33" s="8" t="s">
        <v>36</v>
      </c>
      <c r="C33" s="18">
        <f>C42+C43+C45+C49+C51+C53+C55+C57</f>
        <v>3227.539291</v>
      </c>
      <c r="D33" s="18">
        <f>D42+D43+D45+D49+D51+D53+D55+D57</f>
        <v>3261.5815078400001</v>
      </c>
      <c r="E33" s="18">
        <f t="shared" ref="E33:G33" si="0">E42+E43+E45+E49+E51+E53+E55+E57</f>
        <v>5547.8601350399995</v>
      </c>
      <c r="F33" s="18">
        <f>F42+F43+F45+F49+F51+F53+F55+F57</f>
        <v>0</v>
      </c>
      <c r="G33" s="18">
        <f t="shared" si="0"/>
        <v>11009.33394</v>
      </c>
      <c r="H33" s="18">
        <f>H42+H43+H45+H49+H51+H53+H55+H57</f>
        <v>0</v>
      </c>
      <c r="I33" s="78">
        <v>0</v>
      </c>
      <c r="J33" s="65">
        <f>SUM(C33:H33)*(100%-I33)</f>
        <v>23046.314873880001</v>
      </c>
      <c r="M33" s="7"/>
    </row>
    <row r="34" spans="2:19" s="2" customFormat="1" ht="21" customHeight="1" x14ac:dyDescent="0.2">
      <c r="B34" s="8" t="s">
        <v>37</v>
      </c>
      <c r="C34" s="18">
        <f>C59+C61+C63+C65+C67+C68+C70+C72+C73+C74+C75+C79+C81+C83+C77</f>
        <v>1577.282778</v>
      </c>
      <c r="D34" s="18">
        <f>D59+D61+D63+D65+D67+D68+D70+D72+D73+D74+D75+D79+D81+D83+D77</f>
        <v>2731.6384639999997</v>
      </c>
      <c r="E34" s="18">
        <f t="shared" ref="E34:H34" si="1">E59+E61+E63+E65+E67+E68+E70+E72+E73+E74+E75+E79+E81+E83+E77</f>
        <v>2746.871584</v>
      </c>
      <c r="F34" s="18">
        <f>F59+F61+F63+F65+F67+F68+F70+F72+F73+F74+F75+F79+F81+F83+F77</f>
        <v>0</v>
      </c>
      <c r="G34" s="18">
        <f t="shared" si="1"/>
        <v>4046</v>
      </c>
      <c r="H34" s="18">
        <f t="shared" si="1"/>
        <v>0</v>
      </c>
      <c r="I34" s="78">
        <v>0</v>
      </c>
      <c r="J34" s="65">
        <f>SUM(C34:H34)*(100%-I34)</f>
        <v>11101.792825999999</v>
      </c>
      <c r="M34" s="7"/>
    </row>
    <row r="35" spans="2:19" s="2" customFormat="1" ht="21" customHeight="1" x14ac:dyDescent="0.2">
      <c r="B35" s="8" t="s">
        <v>38</v>
      </c>
      <c r="C35" s="66">
        <f>SUM(C33:C34)</f>
        <v>4804.8220689999998</v>
      </c>
      <c r="D35" s="66">
        <f>SUM(D33:D34)</f>
        <v>5993.2199718399997</v>
      </c>
      <c r="E35" s="66">
        <f t="shared" ref="E35:G35" si="2">SUM(E33:E34)</f>
        <v>8294.731719039999</v>
      </c>
      <c r="F35" s="66">
        <f t="shared" ref="F35" si="3">SUM(F33:F34)</f>
        <v>0</v>
      </c>
      <c r="G35" s="66">
        <f t="shared" si="2"/>
        <v>15055.33394</v>
      </c>
      <c r="H35" s="66">
        <f t="shared" ref="H35" si="4">SUM(H33:H34)</f>
        <v>0</v>
      </c>
      <c r="I35" s="79">
        <v>0</v>
      </c>
      <c r="J35" s="81">
        <f>SUM(J33:J34)</f>
        <v>34148.107699879998</v>
      </c>
      <c r="M35" s="7"/>
    </row>
    <row r="36" spans="2:19" s="2" customFormat="1" ht="20.25" customHeight="1" x14ac:dyDescent="0.2">
      <c r="B36" s="4"/>
      <c r="C36" s="26" t="str">
        <f>заявка!C12</f>
        <v>893х358</v>
      </c>
      <c r="D36" s="26" t="str">
        <f>заявка!D12</f>
        <v>1771х432</v>
      </c>
      <c r="E36" s="26" t="str">
        <f>заявка!E12</f>
        <v>2088х464</v>
      </c>
      <c r="F36" s="26" t="str">
        <f>заявка!F12</f>
        <v>1993х393</v>
      </c>
      <c r="G36" s="26" t="str">
        <f>заявка!G12</f>
        <v/>
      </c>
      <c r="H36" s="26" t="str">
        <f>заявка!H12</f>
        <v>2088х464</v>
      </c>
      <c r="I36" s="4" t="s">
        <v>152</v>
      </c>
      <c r="J36" s="4"/>
      <c r="K36" s="4"/>
      <c r="M36" s="7"/>
    </row>
    <row r="37" spans="2:19" s="2" customFormat="1" ht="20.25" customHeight="1" collapsed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M37" s="7"/>
    </row>
    <row r="38" spans="2:19" s="2" customFormat="1" ht="20.25" hidden="1" customHeight="1" outlineLevel="1" thickBot="1" x14ac:dyDescent="0.25">
      <c r="B38" s="4"/>
      <c r="C38" s="26" t="s">
        <v>231</v>
      </c>
      <c r="D38" s="26" t="s">
        <v>231</v>
      </c>
      <c r="E38" s="26" t="s">
        <v>229</v>
      </c>
      <c r="F38" s="26" t="s">
        <v>229</v>
      </c>
      <c r="G38" s="26" t="s">
        <v>230</v>
      </c>
      <c r="H38" s="26" t="s">
        <v>230</v>
      </c>
      <c r="I38" s="4" t="s">
        <v>240</v>
      </c>
      <c r="J38" s="4"/>
      <c r="K38" s="4"/>
      <c r="L38" s="4"/>
    </row>
    <row r="39" spans="2:19" s="2" customFormat="1" ht="14.25" hidden="1" outlineLevel="1" x14ac:dyDescent="0.2">
      <c r="B39" s="32" t="s">
        <v>96</v>
      </c>
      <c r="C39" s="59">
        <f t="shared" ref="C39:H39" si="5">C$12+VLOOKUP(C9,$B$137:$D$149,2,FALSE)</f>
        <v>893</v>
      </c>
      <c r="D39" s="59">
        <f t="shared" si="5"/>
        <v>1771</v>
      </c>
      <c r="E39" s="59">
        <f t="shared" si="5"/>
        <v>2088</v>
      </c>
      <c r="F39" s="59">
        <f t="shared" si="5"/>
        <v>1993</v>
      </c>
      <c r="G39" s="59">
        <f t="shared" si="5"/>
        <v>2088</v>
      </c>
      <c r="H39" s="59">
        <f t="shared" si="5"/>
        <v>2088</v>
      </c>
      <c r="I39" s="133"/>
      <c r="J39" s="4"/>
      <c r="K39" s="4"/>
      <c r="L39" s="10"/>
      <c r="M39" s="36"/>
      <c r="N39" s="36"/>
      <c r="O39" s="36"/>
      <c r="P39" s="36"/>
      <c r="Q39" s="36"/>
      <c r="R39" s="36"/>
      <c r="S39" s="36"/>
    </row>
    <row r="40" spans="2:19" s="2" customFormat="1" ht="14.25" hidden="1" outlineLevel="1" x14ac:dyDescent="0.2">
      <c r="B40" s="20" t="s">
        <v>97</v>
      </c>
      <c r="C40" s="85">
        <f t="shared" ref="C40:H40" si="6">IF(C$9&lt;&gt;"Z-A",(C$13+VLOOKUP(C$9,$B$137:$D$149,3,FALSE)),(C$14+VLOOKUP(C9,$B$137:$D$149,3,FALSE)))</f>
        <v>358</v>
      </c>
      <c r="D40" s="85">
        <f t="shared" si="6"/>
        <v>432</v>
      </c>
      <c r="E40" s="85">
        <f t="shared" si="6"/>
        <v>464</v>
      </c>
      <c r="F40" s="85">
        <f t="shared" si="6"/>
        <v>393</v>
      </c>
      <c r="G40" s="85">
        <f t="shared" si="6"/>
        <v>464</v>
      </c>
      <c r="H40" s="85">
        <f t="shared" si="6"/>
        <v>464</v>
      </c>
      <c r="I40" s="133"/>
      <c r="J40" s="4"/>
      <c r="K40" s="4"/>
      <c r="L40" s="10"/>
      <c r="M40" s="36"/>
      <c r="N40" s="36"/>
      <c r="O40" s="36"/>
      <c r="P40" s="36"/>
      <c r="Q40" s="36"/>
      <c r="R40" s="36"/>
      <c r="S40" s="36"/>
    </row>
    <row r="41" spans="2:19" s="2" customFormat="1" ht="14.25" hidden="1" outlineLevel="1" x14ac:dyDescent="0.2">
      <c r="B41" s="20" t="s">
        <v>22</v>
      </c>
      <c r="C41" s="77">
        <f t="shared" ref="C41:H41" si="7">(C$39*C$40)/1000000*C$29</f>
        <v>0.31969399999999998</v>
      </c>
      <c r="D41" s="77">
        <f t="shared" si="7"/>
        <v>0.76507199999999997</v>
      </c>
      <c r="E41" s="77">
        <f t="shared" si="7"/>
        <v>0.96883200000000003</v>
      </c>
      <c r="F41" s="77">
        <f t="shared" si="7"/>
        <v>0</v>
      </c>
      <c r="G41" s="77">
        <f t="shared" si="7"/>
        <v>1.9376640000000001</v>
      </c>
      <c r="H41" s="77">
        <f t="shared" si="7"/>
        <v>0</v>
      </c>
      <c r="I41" s="134" t="s">
        <v>256</v>
      </c>
      <c r="L41" s="36"/>
      <c r="M41" s="36"/>
      <c r="N41" s="36"/>
      <c r="O41" s="36"/>
      <c r="P41" s="36"/>
      <c r="Q41" s="36"/>
      <c r="R41" s="36"/>
      <c r="S41" s="36"/>
    </row>
    <row r="42" spans="2:19" s="2" customFormat="1" ht="14.25" hidden="1" outlineLevel="1" x14ac:dyDescent="0.2">
      <c r="B42" s="60" t="s">
        <v>72</v>
      </c>
      <c r="C42" s="61">
        <f t="shared" ref="C42:H42" si="8">IFERROR(C41*VLOOKUP(C17,$B$216:$C$222,2,FALSE),0)</f>
        <v>232.25769099999999</v>
      </c>
      <c r="D42" s="61">
        <f t="shared" si="8"/>
        <v>1318.7699078400001</v>
      </c>
      <c r="E42" s="61">
        <f t="shared" si="8"/>
        <v>1669.99509504</v>
      </c>
      <c r="F42" s="61">
        <f t="shared" si="8"/>
        <v>0</v>
      </c>
      <c r="G42" s="61">
        <f t="shared" si="8"/>
        <v>0</v>
      </c>
      <c r="H42" s="61">
        <f t="shared" si="8"/>
        <v>0</v>
      </c>
      <c r="I42" s="133"/>
      <c r="L42" s="36"/>
      <c r="M42" s="36"/>
      <c r="N42" s="36"/>
      <c r="O42" s="36"/>
      <c r="P42" s="36"/>
      <c r="Q42" s="36"/>
      <c r="R42" s="36"/>
      <c r="S42" s="36"/>
    </row>
    <row r="43" spans="2:19" s="2" customFormat="1" ht="14.25" hidden="1" outlineLevel="1" x14ac:dyDescent="0.2">
      <c r="B43" s="60" t="s">
        <v>73</v>
      </c>
      <c r="C43" s="61">
        <f t="shared" ref="C43:H43" si="9">IFERROR(C41*VLOOKUP(C18,$B$223:$C$231,2,FALSE),0)</f>
        <v>0</v>
      </c>
      <c r="D43" s="61">
        <f t="shared" si="9"/>
        <v>0</v>
      </c>
      <c r="E43" s="61">
        <f t="shared" si="9"/>
        <v>0</v>
      </c>
      <c r="F43" s="61">
        <f t="shared" si="9"/>
        <v>0</v>
      </c>
      <c r="G43" s="61">
        <f t="shared" si="9"/>
        <v>0</v>
      </c>
      <c r="H43" s="61">
        <f t="shared" si="9"/>
        <v>0</v>
      </c>
      <c r="I43" s="133"/>
      <c r="L43" s="36"/>
      <c r="M43" s="36"/>
      <c r="N43" s="36"/>
      <c r="O43" s="36"/>
      <c r="P43" s="36"/>
      <c r="Q43" s="36"/>
      <c r="R43" s="36"/>
      <c r="S43" s="36"/>
    </row>
    <row r="44" spans="2:19" s="2" customFormat="1" ht="14.25" hidden="1" outlineLevel="1" x14ac:dyDescent="0.2">
      <c r="B44" s="19" t="s">
        <v>27</v>
      </c>
      <c r="C44" s="130">
        <f t="shared" ref="C44:H44" si="10">IF(C29&gt;0,ROUND(((C$39+C$40)*2/1000+(C$40/1000*C$16*2))*C$29,2),0)</f>
        <v>2.5</v>
      </c>
      <c r="D44" s="130">
        <f t="shared" si="10"/>
        <v>4.41</v>
      </c>
      <c r="E44" s="130">
        <f t="shared" si="10"/>
        <v>5.0999999999999996</v>
      </c>
      <c r="F44" s="130">
        <f t="shared" si="10"/>
        <v>0</v>
      </c>
      <c r="G44" s="130">
        <f t="shared" si="10"/>
        <v>15.78</v>
      </c>
      <c r="H44" s="130">
        <f t="shared" si="10"/>
        <v>0</v>
      </c>
      <c r="I44" s="131" t="s">
        <v>250</v>
      </c>
      <c r="L44" s="36"/>
      <c r="M44" s="36"/>
      <c r="N44" s="36"/>
      <c r="O44" s="36"/>
      <c r="P44" s="36"/>
      <c r="Q44" s="36"/>
      <c r="R44" s="36"/>
      <c r="S44" s="36"/>
    </row>
    <row r="45" spans="2:19" s="2" customFormat="1" ht="14.25" hidden="1" outlineLevel="1" x14ac:dyDescent="0.2">
      <c r="B45" s="23" t="s">
        <v>28</v>
      </c>
      <c r="C45" s="28">
        <f t="shared" ref="C45:H45" si="11">C44*$C$235</f>
        <v>57.400000000000006</v>
      </c>
      <c r="D45" s="28">
        <f t="shared" si="11"/>
        <v>101.25360000000001</v>
      </c>
      <c r="E45" s="28">
        <f t="shared" si="11"/>
        <v>117.09599999999999</v>
      </c>
      <c r="F45" s="28">
        <f t="shared" si="11"/>
        <v>0</v>
      </c>
      <c r="G45" s="28">
        <f t="shared" si="11"/>
        <v>362.30880000000002</v>
      </c>
      <c r="H45" s="28">
        <f t="shared" si="11"/>
        <v>0</v>
      </c>
      <c r="I45" s="133"/>
      <c r="L45" s="36"/>
      <c r="M45" s="36"/>
      <c r="N45" s="36"/>
      <c r="O45" s="36"/>
      <c r="P45" s="36"/>
      <c r="Q45" s="36"/>
      <c r="R45" s="36"/>
      <c r="S45" s="36"/>
    </row>
    <row r="46" spans="2:19" s="2" customFormat="1" ht="14.25" hidden="1" outlineLevel="1" x14ac:dyDescent="0.2">
      <c r="B46" s="21" t="s">
        <v>54</v>
      </c>
      <c r="C46" s="27">
        <f>IF(C9&lt;&gt;"Z-A",(C$12+C$13)*2*C$29/1000,0)</f>
        <v>0</v>
      </c>
      <c r="D46" s="27">
        <f>IF(D9&lt;&gt;"Z-A",(D$12+D$13)*2*D$29/1000,0)</f>
        <v>4.5199999999999996</v>
      </c>
      <c r="E46" s="27">
        <f>IF(E9&lt;&gt;"Z-A",(E$12+E$13)*2*E$29/1000,0)</f>
        <v>5.1319999999999997</v>
      </c>
      <c r="F46" s="27">
        <f>IF(F9&lt;&gt;"Z-A",(F$12+F$13)*2*F$29/1000,0)</f>
        <v>0</v>
      </c>
      <c r="G46" s="27">
        <f t="shared" ref="G46" si="12">IF(G9&lt;&gt;"Z-A",(G$12+G$13)*2*G$29/1000,0)</f>
        <v>10.263999999999999</v>
      </c>
      <c r="H46" s="27">
        <f t="shared" ref="H46" si="13">IF(H9&lt;&gt;"Z-A",(H$12+H$13)*2*H$29/1000,0)</f>
        <v>0</v>
      </c>
      <c r="I46" s="133"/>
      <c r="J46" s="48"/>
      <c r="L46" s="36"/>
      <c r="M46" s="36"/>
      <c r="N46" s="36"/>
      <c r="O46" s="36"/>
      <c r="P46" s="36"/>
      <c r="Q46" s="36"/>
      <c r="R46" s="36"/>
      <c r="S46" s="36"/>
    </row>
    <row r="47" spans="2:19" s="2" customFormat="1" ht="14.25" hidden="1" outlineLevel="1" x14ac:dyDescent="0.2">
      <c r="B47" s="21" t="s">
        <v>51</v>
      </c>
      <c r="C47" s="27">
        <f>IF(C9="Z-A",C$12*2*C$29/1000,0)</f>
        <v>1.82</v>
      </c>
      <c r="D47" s="27">
        <f>IF(D9="Z-A",D$12*2*D$29/1000,0)</f>
        <v>0</v>
      </c>
      <c r="E47" s="27">
        <f>IF(E9="Z-A",E$12*2*E$29/1000,0)</f>
        <v>0</v>
      </c>
      <c r="F47" s="27">
        <f>IF(F9="Z-A",F$12*2*F$29/1000,0)</f>
        <v>0</v>
      </c>
      <c r="G47" s="27">
        <f>IF(G9="Z-A",G$12*2*G$29/1000,0)</f>
        <v>0</v>
      </c>
      <c r="H47" s="27">
        <f t="shared" ref="H47" si="14">IF(H9="Z-A",H$12*2*H$29/1000,0)</f>
        <v>0</v>
      </c>
      <c r="I47" s="133"/>
      <c r="L47" s="36"/>
      <c r="M47" s="36"/>
      <c r="N47" s="36"/>
      <c r="O47" s="36"/>
      <c r="P47" s="36"/>
      <c r="Q47" s="36"/>
      <c r="R47" s="36"/>
      <c r="S47" s="36"/>
    </row>
    <row r="48" spans="2:19" s="2" customFormat="1" ht="14.25" hidden="1" outlineLevel="1" x14ac:dyDescent="0.2">
      <c r="B48" s="118" t="s">
        <v>172</v>
      </c>
      <c r="C48" s="27">
        <f>C$13/1000*C$16</f>
        <v>0</v>
      </c>
      <c r="D48" s="27">
        <f>D$13/1000*D$16</f>
        <v>0</v>
      </c>
      <c r="E48" s="27">
        <f t="shared" ref="E48:H48" si="15">E$13/1000*E$16</f>
        <v>0</v>
      </c>
      <c r="F48" s="27">
        <f t="shared" si="15"/>
        <v>0</v>
      </c>
      <c r="G48" s="27">
        <f t="shared" si="15"/>
        <v>1.4129999999999998</v>
      </c>
      <c r="H48" s="27">
        <f t="shared" si="15"/>
        <v>0</v>
      </c>
      <c r="I48" s="133"/>
      <c r="L48" s="36"/>
      <c r="M48" s="36"/>
      <c r="N48" s="36"/>
      <c r="O48" s="36"/>
      <c r="P48" s="36"/>
      <c r="Q48" s="36"/>
      <c r="R48" s="36"/>
      <c r="S48" s="36"/>
    </row>
    <row r="49" spans="2:19" s="2" customFormat="1" ht="14.25" hidden="1" outlineLevel="1" x14ac:dyDescent="0.2">
      <c r="B49" s="21" t="s">
        <v>32</v>
      </c>
      <c r="C49" s="237">
        <f t="shared" ref="C49:D49" si="16">IFERROR(IF(C$9&lt;&gt;"Z-A",C$46*VLOOKUP(CONCATENATE(C$9,C$11),$B$277:$C$353,2,FALSE)+IFERROR(C$48*VLOOKUP(CONCATENATE(C$15,C$11),$B$277:$C$353,2,FALSE),0),(C$47*VLOOKUP(CONCATENATE(C$9,C$11),$B$277:$C$353,2,FALSE)+C$29*2*VLOOKUP(CONCATENATE("Z-B",C$11,C$14),$B$277:$C$353,2,FALSE))),0)</f>
        <v>2931.0816</v>
      </c>
      <c r="D49" s="237">
        <f t="shared" si="16"/>
        <v>1555.5579999999998</v>
      </c>
      <c r="E49" s="237">
        <f>IFERROR(IF(E$9&lt;&gt;"Z-A",E$46*VLOOKUP(CONCATENATE(E$9,E$11),$B$277:$C$353,2,FALSE)+IFERROR(E$48*VLOOKUP(CONCATENATE(E$15,E$11),$B$277:$C$353,2,FALSE),0),(E$47*VLOOKUP(CONCATENATE(E$9,E$11),$B$277:$C$353,2,FALSE)+E$29*2*VLOOKUP(CONCATENATE("Z-B",E$11,E$14),$B$277:$C$353,2,FALSE))),0)</f>
        <v>3182.9690399999999</v>
      </c>
      <c r="F49" s="237">
        <f>IFERROR(IF(F$9&lt;&gt;"Z-A",F$46*VLOOKUP(CONCATENATE(F$9,F$11),$B$277:$C$353,2,FALSE)+IFERROR(F$48*VLOOKUP(CONCATENATE(F$15,F$11),$B$277:$C$353,2,FALSE),0),(F$47*VLOOKUP(CONCATENATE(F$9,F$11),$B$277:$C$353,2,FALSE)+F$29*2*VLOOKUP(CONCATENATE("Z-B",F$11,F$14),$B$277:$C$353,2,FALSE))),0)</f>
        <v>0</v>
      </c>
      <c r="G49" s="237">
        <f>IFERROR(IF(G$9&lt;&gt;"Z-A",G$46*VLOOKUP(CONCATENATE(G$9,G$11),$B$277:$C$353,2,FALSE)+IFERROR(G$48*VLOOKUP(CONCATENATE(G$15,G$11),$B$277:$C$353,2,FALSE),0),(G$47*VLOOKUP(CONCATENATE(G$9,G$11),$B$277:$C$353,2,FALSE)+G$29*2*VLOOKUP(CONCATENATE("Z-B",G$11,G$14),$B$277:$C$353,2,FALSE))),0)</f>
        <v>9586.6251400000001</v>
      </c>
      <c r="H49" s="237">
        <f>IFERROR(IF(H$9&lt;&gt;"Z-A",H$46*VLOOKUP(CONCATENATE(H$9,H$11),$B$277:$C$353,2,FALSE)+IFERROR(H$48*VLOOKUP(CONCATENATE(H$15,H$11),$B$277:$C$353,2,FALSE),0),(H$47*VLOOKUP(CONCATENATE(H$9,H$11),$B$277:$C$353,2,FALSE)+H$29*2*VLOOKUP(CONCATENATE("Z-B",H$11,H$14),$B$277:$C$353,2,FALSE))),0)</f>
        <v>0</v>
      </c>
      <c r="I49" s="131" t="s">
        <v>249</v>
      </c>
      <c r="L49" s="36"/>
      <c r="M49" s="36"/>
      <c r="N49" s="36"/>
      <c r="O49" s="36"/>
      <c r="P49" s="36"/>
      <c r="Q49" s="36"/>
      <c r="R49" s="36"/>
      <c r="S49" s="36"/>
    </row>
    <row r="50" spans="2:19" s="2" customFormat="1" ht="14.25" hidden="1" outlineLevel="1" x14ac:dyDescent="0.2">
      <c r="B50" s="23" t="s">
        <v>74</v>
      </c>
      <c r="C50" s="63">
        <f>IF(C$56&gt;0,C$56*2+C$16*4,0)</f>
        <v>0</v>
      </c>
      <c r="D50" s="63">
        <f>IF(D$56&gt;0,D$56*2+D$16*4,0)</f>
        <v>8</v>
      </c>
      <c r="E50" s="137">
        <f>IF(E$56&gt;0,E$56*12+E$16*4,0)</f>
        <v>12</v>
      </c>
      <c r="F50" s="137">
        <f>IF(F$56&gt;0,F$56*12+F$16*4,0)</f>
        <v>0</v>
      </c>
      <c r="G50" s="63">
        <f>IF(G$56&gt;0,G$56*2+G$16*4,0)</f>
        <v>28</v>
      </c>
      <c r="H50" s="63">
        <f>IF(H$56&gt;0,H$56*2+H$16*4,0)</f>
        <v>0</v>
      </c>
      <c r="I50" s="131" t="s">
        <v>251</v>
      </c>
      <c r="L50" s="36"/>
      <c r="M50" s="36"/>
      <c r="N50" s="36"/>
      <c r="O50" s="36"/>
      <c r="P50" s="36"/>
      <c r="Q50" s="36"/>
      <c r="R50" s="36"/>
      <c r="S50" s="36"/>
    </row>
    <row r="51" spans="2:19" s="2" customFormat="1" ht="14.25" hidden="1" outlineLevel="1" x14ac:dyDescent="0.2">
      <c r="B51" s="23" t="s">
        <v>75</v>
      </c>
      <c r="C51" s="62">
        <f t="shared" ref="C51:H51" si="17">IFERROR(VLOOKUP(VLOOKUP(CONCATENATE(C$9,C$11),$B$161:$C$212,2,FALSE),$B$236:$C$242,2,FALSE)*C$50,0)</f>
        <v>0</v>
      </c>
      <c r="D51" s="62">
        <f t="shared" si="17"/>
        <v>5.6</v>
      </c>
      <c r="E51" s="62">
        <f t="shared" si="17"/>
        <v>8.3999999999999986</v>
      </c>
      <c r="F51" s="62">
        <f t="shared" si="17"/>
        <v>0</v>
      </c>
      <c r="G51" s="62">
        <f t="shared" si="17"/>
        <v>19.599999999999998</v>
      </c>
      <c r="H51" s="62">
        <f t="shared" si="17"/>
        <v>0</v>
      </c>
      <c r="I51" s="133"/>
      <c r="L51" s="36"/>
      <c r="M51" s="36"/>
      <c r="N51" s="36"/>
      <c r="O51" s="36"/>
      <c r="P51" s="36"/>
      <c r="Q51" s="36"/>
      <c r="R51" s="36"/>
      <c r="S51" s="36"/>
    </row>
    <row r="52" spans="2:19" s="2" customFormat="1" ht="14.25" hidden="1" outlineLevel="1" x14ac:dyDescent="0.2">
      <c r="B52" s="135" t="s">
        <v>247</v>
      </c>
      <c r="C52" s="84">
        <f>IF(C$16&gt;0,C$16*2,0)</f>
        <v>0</v>
      </c>
      <c r="D52" s="84">
        <f>IF(D$16&gt;0,D$16*2,0)</f>
        <v>0</v>
      </c>
      <c r="E52" s="84">
        <f t="shared" ref="E52:H52" si="18">IF(E$16&gt;0,E$16*2,0)</f>
        <v>0</v>
      </c>
      <c r="F52" s="84">
        <f t="shared" si="18"/>
        <v>0</v>
      </c>
      <c r="G52" s="84">
        <f t="shared" si="18"/>
        <v>6</v>
      </c>
      <c r="H52" s="84">
        <f t="shared" si="18"/>
        <v>0</v>
      </c>
      <c r="I52" s="131" t="s">
        <v>252</v>
      </c>
      <c r="L52" s="36"/>
      <c r="M52" s="36"/>
      <c r="N52" s="36"/>
      <c r="O52" s="36"/>
      <c r="P52" s="36"/>
      <c r="Q52" s="36"/>
      <c r="R52" s="36"/>
      <c r="S52" s="36"/>
    </row>
    <row r="53" spans="2:19" s="2" customFormat="1" ht="14.25" hidden="1" outlineLevel="1" x14ac:dyDescent="0.2">
      <c r="B53" s="135" t="s">
        <v>248</v>
      </c>
      <c r="C53" s="62">
        <f>C52*$C$239</f>
        <v>0</v>
      </c>
      <c r="D53" s="62">
        <f>D52*$C$239</f>
        <v>0</v>
      </c>
      <c r="E53" s="62">
        <f t="shared" ref="E53:G53" si="19">E52*$C$239</f>
        <v>0</v>
      </c>
      <c r="F53" s="62">
        <f t="shared" ref="F53" si="20">F52*$C$239</f>
        <v>0</v>
      </c>
      <c r="G53" s="62">
        <f t="shared" si="19"/>
        <v>480</v>
      </c>
      <c r="H53" s="62">
        <f t="shared" ref="H53" si="21">H52*$C$239</f>
        <v>0</v>
      </c>
      <c r="I53" s="131"/>
      <c r="L53" s="36"/>
      <c r="M53" s="36"/>
      <c r="N53" s="36"/>
      <c r="O53" s="36"/>
      <c r="P53" s="36"/>
      <c r="Q53" s="36"/>
      <c r="R53" s="36"/>
      <c r="S53" s="36"/>
    </row>
    <row r="54" spans="2:19" s="2" customFormat="1" ht="14.25" hidden="1" outlineLevel="1" x14ac:dyDescent="0.2">
      <c r="B54" s="21" t="s">
        <v>76</v>
      </c>
      <c r="C54" s="64">
        <f t="shared" ref="C54:H54" si="22">IF(C$56&gt;0,0,IF(C$9="Z-A",C$29*8,0))</f>
        <v>8</v>
      </c>
      <c r="D54" s="64">
        <f t="shared" si="22"/>
        <v>0</v>
      </c>
      <c r="E54" s="64">
        <f t="shared" si="22"/>
        <v>0</v>
      </c>
      <c r="F54" s="64">
        <f t="shared" si="22"/>
        <v>0</v>
      </c>
      <c r="G54" s="64">
        <f t="shared" si="22"/>
        <v>0</v>
      </c>
      <c r="H54" s="64">
        <f t="shared" si="22"/>
        <v>0</v>
      </c>
      <c r="I54" s="133"/>
      <c r="L54" s="36"/>
      <c r="M54" s="36"/>
      <c r="N54" s="36"/>
      <c r="O54" s="36"/>
      <c r="P54" s="36"/>
      <c r="Q54" s="36"/>
      <c r="R54" s="36"/>
      <c r="S54" s="36"/>
    </row>
    <row r="55" spans="2:19" s="2" customFormat="1" ht="14.25" hidden="1" outlineLevel="1" x14ac:dyDescent="0.2">
      <c r="B55" s="21" t="s">
        <v>77</v>
      </c>
      <c r="C55" s="55">
        <f t="shared" ref="C55:H55" si="23">IFERROR(VLOOKUP(VLOOKUP(CONCATENATE(C$9,C$11),$B$161:$C$212,2,FALSE),$B$236:$C$242,2,FALSE)*C$54,0)</f>
        <v>6.8</v>
      </c>
      <c r="D55" s="55">
        <f t="shared" si="23"/>
        <v>0</v>
      </c>
      <c r="E55" s="55">
        <f t="shared" si="23"/>
        <v>0</v>
      </c>
      <c r="F55" s="55">
        <f t="shared" si="23"/>
        <v>0</v>
      </c>
      <c r="G55" s="55">
        <f t="shared" si="23"/>
        <v>0</v>
      </c>
      <c r="H55" s="55">
        <f t="shared" si="23"/>
        <v>0</v>
      </c>
      <c r="I55" s="133"/>
      <c r="L55" s="36"/>
      <c r="M55" s="36"/>
      <c r="N55" s="36"/>
      <c r="O55" s="36"/>
      <c r="P55" s="36"/>
      <c r="Q55" s="36"/>
      <c r="R55" s="36"/>
      <c r="S55" s="36"/>
    </row>
    <row r="56" spans="2:19" s="2" customFormat="1" ht="14.25" hidden="1" outlineLevel="1" x14ac:dyDescent="0.2">
      <c r="B56" s="23" t="s">
        <v>34</v>
      </c>
      <c r="C56" s="15">
        <f>IF(C$29&gt;0,IF(C$9&lt;&gt;"Z-A",C$29*4,0),0)</f>
        <v>0</v>
      </c>
      <c r="D56" s="15">
        <f>IF(D$29&gt;0,IF(D$9&lt;&gt;"Z-A",D$29*4,0),0)</f>
        <v>4</v>
      </c>
      <c r="E56" s="137">
        <f>IF(E$29&gt;0,IF(E$9&lt;&gt;"Z-A",E$29*1,0),0)</f>
        <v>1</v>
      </c>
      <c r="F56" s="137">
        <f>IF(F$29&gt;0,IF(F$9&lt;&gt;"Z-A",F$29*1,0),0)</f>
        <v>0</v>
      </c>
      <c r="G56" s="15">
        <f t="shared" ref="G56:H56" si="24">IF(G$29&gt;0,IF(G$9&lt;&gt;"Z-A",G$29*4,0),0)</f>
        <v>8</v>
      </c>
      <c r="H56" s="15">
        <f t="shared" si="24"/>
        <v>0</v>
      </c>
      <c r="I56" s="131" t="s">
        <v>253</v>
      </c>
      <c r="L56" s="36"/>
      <c r="M56" s="36"/>
      <c r="N56" s="36"/>
      <c r="O56" s="36"/>
      <c r="P56" s="36"/>
      <c r="Q56" s="36"/>
      <c r="R56" s="36"/>
      <c r="S56" s="36"/>
    </row>
    <row r="57" spans="2:19" s="2" customFormat="1" hidden="1" outlineLevel="1" thickBot="1" x14ac:dyDescent="0.25">
      <c r="B57" s="30" t="s">
        <v>35</v>
      </c>
      <c r="C57" s="31">
        <f t="shared" ref="C57:H57" si="25">IFERROR(C$56*VLOOKUP(C$9,$B$243:$C$254,2,FALSE),0)</f>
        <v>0</v>
      </c>
      <c r="D57" s="31">
        <f t="shared" si="25"/>
        <v>280.39999999999998</v>
      </c>
      <c r="E57" s="31">
        <f t="shared" si="25"/>
        <v>569.4</v>
      </c>
      <c r="F57" s="31">
        <f t="shared" si="25"/>
        <v>0</v>
      </c>
      <c r="G57" s="31">
        <f t="shared" si="25"/>
        <v>560.79999999999995</v>
      </c>
      <c r="H57" s="31">
        <f t="shared" si="25"/>
        <v>0</v>
      </c>
      <c r="I57" s="132"/>
      <c r="L57" s="36"/>
      <c r="M57" s="36"/>
      <c r="N57" s="36"/>
      <c r="O57" s="36"/>
      <c r="P57" s="36"/>
      <c r="Q57" s="36"/>
      <c r="R57" s="36"/>
      <c r="S57" s="36"/>
    </row>
    <row r="58" spans="2:19" s="2" customFormat="1" ht="14.25" hidden="1" outlineLevel="1" x14ac:dyDescent="0.2">
      <c r="B58" s="58" t="s">
        <v>85</v>
      </c>
      <c r="C58" s="86">
        <f t="shared" ref="C58:H58" si="26">IF(C$30="да",C$29,0)</f>
        <v>1</v>
      </c>
      <c r="D58" s="86">
        <f t="shared" si="26"/>
        <v>1</v>
      </c>
      <c r="E58" s="86">
        <f t="shared" si="26"/>
        <v>1</v>
      </c>
      <c r="F58" s="86">
        <f t="shared" si="26"/>
        <v>0</v>
      </c>
      <c r="G58" s="86">
        <f t="shared" si="26"/>
        <v>0</v>
      </c>
      <c r="H58" s="86">
        <f t="shared" si="26"/>
        <v>0</v>
      </c>
      <c r="L58" s="36"/>
      <c r="M58" s="36"/>
      <c r="N58" s="36"/>
      <c r="O58" s="36"/>
      <c r="P58" s="36"/>
      <c r="Q58" s="36"/>
      <c r="R58" s="36"/>
      <c r="S58" s="36"/>
    </row>
    <row r="59" spans="2:19" s="2" customFormat="1" ht="14.25" hidden="1" outlineLevel="1" x14ac:dyDescent="0.2">
      <c r="B59" s="20" t="s">
        <v>86</v>
      </c>
      <c r="C59" s="34">
        <f t="shared" ref="C59:H59" si="27">VLOOKUP($B59,$B$258:$C$273,2,FALSE)*C$58</f>
        <v>528</v>
      </c>
      <c r="D59" s="34">
        <f t="shared" si="27"/>
        <v>528</v>
      </c>
      <c r="E59" s="34">
        <f t="shared" si="27"/>
        <v>528</v>
      </c>
      <c r="F59" s="34">
        <f t="shared" si="27"/>
        <v>0</v>
      </c>
      <c r="G59" s="34">
        <f t="shared" si="27"/>
        <v>0</v>
      </c>
      <c r="H59" s="34">
        <f t="shared" si="27"/>
        <v>0</v>
      </c>
      <c r="I59" s="134" t="s">
        <v>241</v>
      </c>
      <c r="L59" s="36"/>
      <c r="M59" s="36"/>
      <c r="N59" s="36"/>
      <c r="O59" s="36"/>
      <c r="P59" s="36"/>
      <c r="Q59" s="36"/>
      <c r="R59" s="36"/>
      <c r="S59" s="36"/>
    </row>
    <row r="60" spans="2:19" s="2" customFormat="1" ht="14.25" hidden="1" outlineLevel="1" x14ac:dyDescent="0.2">
      <c r="B60" s="19" t="s">
        <v>87</v>
      </c>
      <c r="C60" s="136">
        <f>IF(C$30="да",C$29+C$16,0)</f>
        <v>1</v>
      </c>
      <c r="D60" s="136">
        <f>IF(D$30="да",D$29+D$16,0)</f>
        <v>1</v>
      </c>
      <c r="E60" s="136">
        <f t="shared" ref="E60:H60" si="28">IF(E$30="да",E$29+E$16,0)</f>
        <v>1</v>
      </c>
      <c r="F60" s="136">
        <f t="shared" si="28"/>
        <v>0</v>
      </c>
      <c r="G60" s="136">
        <f t="shared" si="28"/>
        <v>0</v>
      </c>
      <c r="H60" s="136">
        <f t="shared" si="28"/>
        <v>0</v>
      </c>
      <c r="I60" s="131" t="s">
        <v>243</v>
      </c>
      <c r="L60" s="36"/>
      <c r="M60" s="36"/>
      <c r="N60" s="36"/>
      <c r="O60" s="36"/>
      <c r="P60" s="36"/>
      <c r="Q60" s="36"/>
      <c r="R60" s="36"/>
      <c r="S60" s="36"/>
    </row>
    <row r="61" spans="2:19" s="2" customFormat="1" ht="14.25" hidden="1" outlineLevel="1" x14ac:dyDescent="0.2">
      <c r="B61" s="19" t="s">
        <v>88</v>
      </c>
      <c r="C61" s="28">
        <f t="shared" ref="C61:H61" si="29">VLOOKUP($B61,$B$258:$C$273,2,FALSE)*C$60</f>
        <v>250</v>
      </c>
      <c r="D61" s="28">
        <f t="shared" si="29"/>
        <v>250</v>
      </c>
      <c r="E61" s="28">
        <f t="shared" si="29"/>
        <v>250</v>
      </c>
      <c r="F61" s="28">
        <f t="shared" si="29"/>
        <v>0</v>
      </c>
      <c r="G61" s="28">
        <f t="shared" si="29"/>
        <v>0</v>
      </c>
      <c r="H61" s="28">
        <f t="shared" si="29"/>
        <v>0</v>
      </c>
      <c r="I61" s="133"/>
      <c r="L61" s="36"/>
      <c r="M61" s="36"/>
      <c r="N61" s="36"/>
      <c r="O61" s="36"/>
      <c r="P61" s="36"/>
      <c r="Q61" s="36"/>
      <c r="R61" s="36"/>
      <c r="S61" s="36"/>
    </row>
    <row r="62" spans="2:19" s="2" customFormat="1" ht="14.25" hidden="1" outlineLevel="1" x14ac:dyDescent="0.2">
      <c r="B62" s="20" t="s">
        <v>98</v>
      </c>
      <c r="C62" s="226">
        <f t="shared" ref="C62:H62" si="30">IF(C$30="Да",ROUND((C$39*2+C$40*2+C$40*C$16*2)/1000*C$29,2),0)</f>
        <v>2.5</v>
      </c>
      <c r="D62" s="226">
        <f t="shared" si="30"/>
        <v>4.41</v>
      </c>
      <c r="E62" s="226">
        <f t="shared" si="30"/>
        <v>5.0999999999999996</v>
      </c>
      <c r="F62" s="226">
        <f t="shared" si="30"/>
        <v>0</v>
      </c>
      <c r="G62" s="226">
        <f t="shared" si="30"/>
        <v>0</v>
      </c>
      <c r="H62" s="226">
        <f t="shared" si="30"/>
        <v>0</v>
      </c>
      <c r="I62" s="131" t="s">
        <v>244</v>
      </c>
      <c r="L62" s="36"/>
      <c r="M62" s="36"/>
      <c r="N62" s="36"/>
      <c r="O62" s="36"/>
      <c r="P62" s="36"/>
      <c r="Q62" s="36"/>
      <c r="R62" s="36"/>
      <c r="S62" s="36"/>
    </row>
    <row r="63" spans="2:19" s="2" customFormat="1" ht="14.25" hidden="1" outlineLevel="1" x14ac:dyDescent="0.2">
      <c r="B63" s="20" t="s">
        <v>89</v>
      </c>
      <c r="C63" s="34">
        <f t="shared" ref="C63:H63" si="31">C$62*VLOOKUP($B63,$B$258:$C$273,2,FALSE)</f>
        <v>192.5</v>
      </c>
      <c r="D63" s="34">
        <f t="shared" si="31"/>
        <v>339.57</v>
      </c>
      <c r="E63" s="34">
        <f t="shared" si="31"/>
        <v>392.7</v>
      </c>
      <c r="F63" s="34">
        <f t="shared" si="31"/>
        <v>0</v>
      </c>
      <c r="G63" s="34">
        <f t="shared" si="31"/>
        <v>0</v>
      </c>
      <c r="H63" s="34">
        <f t="shared" si="31"/>
        <v>0</v>
      </c>
      <c r="I63" s="133"/>
      <c r="L63" s="36"/>
      <c r="M63" s="36"/>
      <c r="N63" s="36"/>
      <c r="O63" s="36"/>
      <c r="P63" s="36"/>
      <c r="Q63" s="36"/>
      <c r="R63" s="36"/>
      <c r="S63" s="36"/>
    </row>
    <row r="64" spans="2:19" s="2" customFormat="1" ht="14.25" hidden="1" outlineLevel="1" x14ac:dyDescent="0.2">
      <c r="B64" s="19" t="s">
        <v>99</v>
      </c>
      <c r="C64" s="130">
        <f t="shared" ref="C64:H64" si="32">IF(C$30="Да",ROUND((C$39*2+C$40*2+C$40*C$16*2)/1000,2),0)</f>
        <v>2.5</v>
      </c>
      <c r="D64" s="130">
        <f t="shared" si="32"/>
        <v>4.41</v>
      </c>
      <c r="E64" s="130">
        <f t="shared" si="32"/>
        <v>5.0999999999999996</v>
      </c>
      <c r="F64" s="130">
        <f t="shared" si="32"/>
        <v>4.7699999999999996</v>
      </c>
      <c r="G64" s="130">
        <f t="shared" si="32"/>
        <v>0</v>
      </c>
      <c r="H64" s="130">
        <f t="shared" si="32"/>
        <v>0</v>
      </c>
      <c r="I64" s="131" t="s">
        <v>245</v>
      </c>
    </row>
    <row r="65" spans="2:9" s="2" customFormat="1" ht="14.25" hidden="1" outlineLevel="1" x14ac:dyDescent="0.2">
      <c r="B65" s="19" t="s">
        <v>90</v>
      </c>
      <c r="C65" s="28">
        <f t="shared" ref="C65:H65" si="33">C$64*VLOOKUP($B65,$B$258:$C$273,2,FALSE)</f>
        <v>0</v>
      </c>
      <c r="D65" s="28">
        <f t="shared" si="33"/>
        <v>0</v>
      </c>
      <c r="E65" s="28">
        <f t="shared" si="33"/>
        <v>0</v>
      </c>
      <c r="F65" s="28">
        <f t="shared" si="33"/>
        <v>0</v>
      </c>
      <c r="G65" s="28">
        <f t="shared" si="33"/>
        <v>0</v>
      </c>
      <c r="H65" s="28">
        <f t="shared" si="33"/>
        <v>0</v>
      </c>
      <c r="I65" s="133"/>
    </row>
    <row r="66" spans="2:9" s="2" customFormat="1" ht="14.25" hidden="1" outlineLevel="1" x14ac:dyDescent="0.2">
      <c r="B66" s="20" t="s">
        <v>33</v>
      </c>
      <c r="C66" s="16">
        <f>C$26*C$29</f>
        <v>3</v>
      </c>
      <c r="D66" s="16">
        <f>D$26*D$29</f>
        <v>4</v>
      </c>
      <c r="E66" s="125">
        <f>E$26*E$29</f>
        <v>1</v>
      </c>
      <c r="F66" s="125">
        <f>F$26*F$29</f>
        <v>0</v>
      </c>
      <c r="G66" s="16">
        <f t="shared" ref="G66:H66" si="34">G$26*G$29</f>
        <v>4</v>
      </c>
      <c r="H66" s="16">
        <f t="shared" si="34"/>
        <v>0</v>
      </c>
      <c r="I66" s="131" t="s">
        <v>239</v>
      </c>
    </row>
    <row r="67" spans="2:9" s="2" customFormat="1" ht="14.25" hidden="1" outlineLevel="1" x14ac:dyDescent="0.2">
      <c r="B67" s="118" t="s">
        <v>232</v>
      </c>
      <c r="C67" s="34"/>
      <c r="D67" s="34"/>
      <c r="E67" s="125">
        <f>VLOOKUP($B67,$B$258:$C$273,2,FALSE)*E$66</f>
        <v>100</v>
      </c>
      <c r="F67" s="125">
        <f>VLOOKUP($B67,$B$258:$C$273,2,FALSE)*F$66</f>
        <v>0</v>
      </c>
      <c r="G67" s="34"/>
      <c r="H67" s="34"/>
      <c r="I67" s="131" t="s">
        <v>259</v>
      </c>
    </row>
    <row r="68" spans="2:9" s="2" customFormat="1" ht="14.25" hidden="1" outlineLevel="1" x14ac:dyDescent="0.2">
      <c r="B68" s="20" t="s">
        <v>226</v>
      </c>
      <c r="C68" s="34">
        <f>VLOOKUP($B68,$B$258:$C$273,2,FALSE)*C$66</f>
        <v>264</v>
      </c>
      <c r="D68" s="34">
        <f>VLOOKUP($B68,$B$258:$C$273,2,FALSE)*D$66</f>
        <v>352</v>
      </c>
      <c r="E68" s="125"/>
      <c r="F68" s="125"/>
      <c r="G68" s="34">
        <f>VLOOKUP($B68,$B$258:$C$273,2,FALSE)*G$66</f>
        <v>352</v>
      </c>
      <c r="H68" s="34">
        <f>VLOOKUP($B68,$B$258:$C$273,2,FALSE)*H$66</f>
        <v>0</v>
      </c>
      <c r="I68" s="133"/>
    </row>
    <row r="69" spans="2:9" s="2" customFormat="1" ht="14.25" hidden="1" outlineLevel="1" x14ac:dyDescent="0.2">
      <c r="B69" s="19" t="s">
        <v>91</v>
      </c>
      <c r="C69" s="136">
        <f>IF(C$9&lt;&gt;"Z-A",C$29*4*2+IF(C$16&gt;0,C$16*8,0),0)</f>
        <v>0</v>
      </c>
      <c r="D69" s="136">
        <f>IF(D$9&lt;&gt;"Z-A",D$29*4*2+IF(D$16&gt;0,D$16*8,0),0)</f>
        <v>8</v>
      </c>
      <c r="E69" s="137">
        <f>IF(E$9&lt;&gt;"Z-A",E$29*12+IF(E$16&gt;0,E$16*8,0),0)</f>
        <v>12</v>
      </c>
      <c r="F69" s="137">
        <f>IF(F$9&lt;&gt;"Z-A",F$29*12+IF(F$16&gt;0,F$16*8,0),0)</f>
        <v>0</v>
      </c>
      <c r="G69" s="136">
        <f>IF(G$9&lt;&gt;"Z-A",G$29*4*2+IF(G$16&gt;0,G$16*8,0),0)</f>
        <v>40</v>
      </c>
      <c r="H69" s="136">
        <f>IF(H$9&lt;&gt;"Z-A",H$29*4*2+IF(H$16&gt;0,H$16*8,0),0)</f>
        <v>0</v>
      </c>
      <c r="I69" s="131" t="s">
        <v>257</v>
      </c>
    </row>
    <row r="70" spans="2:9" s="2" customFormat="1" ht="14.25" hidden="1" outlineLevel="1" x14ac:dyDescent="0.2">
      <c r="B70" s="19" t="s">
        <v>92</v>
      </c>
      <c r="C70" s="28">
        <f t="shared" ref="C70:H70" si="35">C$69*VLOOKUP($B70,$B$258:$C$273,2,FALSE)</f>
        <v>0</v>
      </c>
      <c r="D70" s="28">
        <f t="shared" si="35"/>
        <v>352</v>
      </c>
      <c r="E70" s="28">
        <f t="shared" si="35"/>
        <v>528</v>
      </c>
      <c r="F70" s="28">
        <f t="shared" si="35"/>
        <v>0</v>
      </c>
      <c r="G70" s="28">
        <f t="shared" si="35"/>
        <v>1760</v>
      </c>
      <c r="H70" s="28">
        <f t="shared" si="35"/>
        <v>0</v>
      </c>
      <c r="I70" s="133"/>
    </row>
    <row r="71" spans="2:9" s="2" customFormat="1" ht="14.25" hidden="1" outlineLevel="1" x14ac:dyDescent="0.2">
      <c r="B71" s="21" t="s">
        <v>101</v>
      </c>
      <c r="C71" s="64">
        <f>IF(C$9&lt;&gt;"Z-A",C$29*4*2,C$29*2*2)</f>
        <v>4</v>
      </c>
      <c r="D71" s="64">
        <f>IF(D$9&lt;&gt;"Z-A",D$29*4*2,D$29*2*2)</f>
        <v>8</v>
      </c>
      <c r="E71" s="64">
        <f t="shared" ref="E71:H71" si="36">IF(E$9&lt;&gt;"Z-A",E$29*4*2,E$29*2*2)</f>
        <v>8</v>
      </c>
      <c r="F71" s="64">
        <f t="shared" si="36"/>
        <v>0</v>
      </c>
      <c r="G71" s="64">
        <f t="shared" si="36"/>
        <v>16</v>
      </c>
      <c r="H71" s="64">
        <f t="shared" si="36"/>
        <v>0</v>
      </c>
      <c r="I71" s="133"/>
    </row>
    <row r="72" spans="2:9" s="2" customFormat="1" ht="14.25" hidden="1" outlineLevel="1" x14ac:dyDescent="0.2">
      <c r="B72" s="21" t="s">
        <v>93</v>
      </c>
      <c r="C72" s="29">
        <f t="shared" ref="C72:H72" si="37">IF(C$9&lt;&gt;"Z-A",VLOOKUP($B72,$B$258:$C$273,2,FALSE)*C$71,0)</f>
        <v>0</v>
      </c>
      <c r="D72" s="29">
        <f t="shared" si="37"/>
        <v>640</v>
      </c>
      <c r="E72" s="29">
        <f t="shared" si="37"/>
        <v>640</v>
      </c>
      <c r="F72" s="29">
        <f t="shared" si="37"/>
        <v>0</v>
      </c>
      <c r="G72" s="29">
        <f t="shared" si="37"/>
        <v>1280</v>
      </c>
      <c r="H72" s="29">
        <f t="shared" si="37"/>
        <v>0</v>
      </c>
      <c r="I72" s="133"/>
    </row>
    <row r="73" spans="2:9" s="2" customFormat="1" ht="14.25" hidden="1" outlineLevel="1" x14ac:dyDescent="0.2">
      <c r="B73" s="21" t="s">
        <v>100</v>
      </c>
      <c r="C73" s="29">
        <f t="shared" ref="C73:H73" si="38">IF(C$9="Z-A",VLOOKUP($B73,$B$258:$C$273,2,FALSE)*C$71,0)</f>
        <v>156</v>
      </c>
      <c r="D73" s="29">
        <f t="shared" si="38"/>
        <v>0</v>
      </c>
      <c r="E73" s="29">
        <f t="shared" si="38"/>
        <v>0</v>
      </c>
      <c r="F73" s="29">
        <f t="shared" si="38"/>
        <v>0</v>
      </c>
      <c r="G73" s="29">
        <f t="shared" si="38"/>
        <v>0</v>
      </c>
      <c r="H73" s="29">
        <f t="shared" si="38"/>
        <v>0</v>
      </c>
      <c r="I73" s="133"/>
    </row>
    <row r="74" spans="2:9" s="2" customFormat="1" ht="14.25" hidden="1" outlineLevel="1" x14ac:dyDescent="0.2">
      <c r="B74" s="23" t="s">
        <v>158</v>
      </c>
      <c r="C74" s="84">
        <f>IF(C15="7227 для F1-99",VLOOKUP($B74,$B$257:$C$273,2,FALSE),0)*C16*C29</f>
        <v>0</v>
      </c>
      <c r="D74" s="84">
        <f t="shared" ref="D74:H74" si="39">IF(D15="7227 для F1-99",VLOOKUP($B74,$B$257:$C$273,2,FALSE),0)*D16*D29</f>
        <v>0</v>
      </c>
      <c r="E74" s="84">
        <f t="shared" si="39"/>
        <v>0</v>
      </c>
      <c r="F74" s="84">
        <f t="shared" si="39"/>
        <v>0</v>
      </c>
      <c r="G74" s="84">
        <f t="shared" si="39"/>
        <v>0</v>
      </c>
      <c r="H74" s="84">
        <f t="shared" si="39"/>
        <v>0</v>
      </c>
      <c r="I74" s="133"/>
    </row>
    <row r="75" spans="2:9" s="2" customFormat="1" ht="14.25" hidden="1" outlineLevel="1" x14ac:dyDescent="0.2">
      <c r="B75" s="23" t="s">
        <v>157</v>
      </c>
      <c r="C75" s="84">
        <f>IF(C15="7226 для F1-93/793/993",VLOOKUP($B75,$B$257:$C$273,2,FALSE),0)*C16*C29</f>
        <v>0</v>
      </c>
      <c r="D75" s="84">
        <f t="shared" ref="D75:H75" si="40">IF(D15="7226 для F1-93/793/993",VLOOKUP($B75,$B$257:$C$273,2,FALSE),0)*D16*D29</f>
        <v>0</v>
      </c>
      <c r="E75" s="84">
        <f t="shared" si="40"/>
        <v>0</v>
      </c>
      <c r="F75" s="84">
        <f t="shared" si="40"/>
        <v>0</v>
      </c>
      <c r="G75" s="84">
        <f t="shared" si="40"/>
        <v>300</v>
      </c>
      <c r="H75" s="84">
        <f t="shared" si="40"/>
        <v>0</v>
      </c>
      <c r="I75" s="133"/>
    </row>
    <row r="76" spans="2:9" s="2" customFormat="1" ht="14.25" hidden="1" outlineLevel="1" x14ac:dyDescent="0.2">
      <c r="B76" s="118" t="s">
        <v>165</v>
      </c>
      <c r="C76" s="29">
        <f t="shared" ref="C76:H76" si="41">IF(C$30="Да",0,C29)</f>
        <v>0</v>
      </c>
      <c r="D76" s="29">
        <f t="shared" si="41"/>
        <v>0</v>
      </c>
      <c r="E76" s="29">
        <f t="shared" si="41"/>
        <v>0</v>
      </c>
      <c r="F76" s="29">
        <f t="shared" si="41"/>
        <v>0</v>
      </c>
      <c r="G76" s="29">
        <f t="shared" si="41"/>
        <v>2</v>
      </c>
      <c r="H76" s="29">
        <f t="shared" si="41"/>
        <v>0</v>
      </c>
      <c r="I76" s="131" t="s">
        <v>242</v>
      </c>
    </row>
    <row r="77" spans="2:9" s="2" customFormat="1" ht="14.25" hidden="1" outlineLevel="1" x14ac:dyDescent="0.2">
      <c r="B77" s="118" t="s">
        <v>159</v>
      </c>
      <c r="C77" s="29">
        <f>C76*$C$260</f>
        <v>0</v>
      </c>
      <c r="D77" s="29">
        <f>D76*$C$260</f>
        <v>0</v>
      </c>
      <c r="E77" s="29">
        <f t="shared" ref="E77:G77" si="42">E76*$C$260</f>
        <v>0</v>
      </c>
      <c r="F77" s="29">
        <f t="shared" ref="F77" si="43">F76*$C$260</f>
        <v>0</v>
      </c>
      <c r="G77" s="29">
        <f t="shared" si="42"/>
        <v>100</v>
      </c>
      <c r="H77" s="29">
        <f t="shared" ref="H77" si="44">H76*$C$260</f>
        <v>0</v>
      </c>
      <c r="I77" s="133"/>
    </row>
    <row r="78" spans="2:9" s="2" customFormat="1" ht="14.25" hidden="1" outlineLevel="1" x14ac:dyDescent="0.2">
      <c r="B78" s="19" t="s">
        <v>139</v>
      </c>
      <c r="C78" s="84">
        <f>C$32</f>
        <v>0</v>
      </c>
      <c r="D78" s="84">
        <f>D$32</f>
        <v>0</v>
      </c>
      <c r="E78" s="84">
        <f t="shared" ref="E78:H78" si="45">E$32</f>
        <v>0</v>
      </c>
      <c r="F78" s="84">
        <f t="shared" si="45"/>
        <v>0</v>
      </c>
      <c r="G78" s="84">
        <f t="shared" si="45"/>
        <v>0</v>
      </c>
      <c r="H78" s="84">
        <f t="shared" si="45"/>
        <v>0</v>
      </c>
      <c r="I78" s="133"/>
    </row>
    <row r="79" spans="2:9" s="2" customFormat="1" ht="14.25" hidden="1" outlineLevel="1" x14ac:dyDescent="0.2">
      <c r="B79" s="19" t="s">
        <v>140</v>
      </c>
      <c r="C79" s="84">
        <f t="shared" ref="C79:H79" si="46">VLOOKUP($B79,$B$258:$C$273,2,FALSE)*C78</f>
        <v>0</v>
      </c>
      <c r="D79" s="84">
        <f t="shared" si="46"/>
        <v>0</v>
      </c>
      <c r="E79" s="84">
        <f t="shared" si="46"/>
        <v>0</v>
      </c>
      <c r="F79" s="84">
        <f t="shared" si="46"/>
        <v>0</v>
      </c>
      <c r="G79" s="84">
        <f t="shared" si="46"/>
        <v>0</v>
      </c>
      <c r="H79" s="84">
        <f t="shared" si="46"/>
        <v>0</v>
      </c>
      <c r="I79" s="133"/>
    </row>
    <row r="80" spans="2:9" s="2" customFormat="1" ht="14.25" hidden="1" outlineLevel="1" x14ac:dyDescent="0.2">
      <c r="B80" s="118" t="s">
        <v>261</v>
      </c>
      <c r="C80" s="29">
        <f>C$29</f>
        <v>1</v>
      </c>
      <c r="D80" s="29">
        <f>D$29</f>
        <v>1</v>
      </c>
      <c r="E80" s="29">
        <f t="shared" ref="E80:H80" si="47">E$29</f>
        <v>1</v>
      </c>
      <c r="F80" s="29">
        <f t="shared" si="47"/>
        <v>0</v>
      </c>
      <c r="G80" s="29">
        <f t="shared" si="47"/>
        <v>2</v>
      </c>
      <c r="H80" s="29">
        <f t="shared" si="47"/>
        <v>0</v>
      </c>
      <c r="I80" s="132"/>
    </row>
    <row r="81" spans="1:9" s="2" customFormat="1" ht="14.25" hidden="1" outlineLevel="1" x14ac:dyDescent="0.2">
      <c r="B81" s="118" t="s">
        <v>260</v>
      </c>
      <c r="C81" s="34">
        <f t="shared" ref="C81:H81" si="48">VLOOKUP($B81,$B$258:$C$273,2,FALSE)*C$80</f>
        <v>127</v>
      </c>
      <c r="D81" s="34">
        <f t="shared" si="48"/>
        <v>127</v>
      </c>
      <c r="E81" s="34">
        <f t="shared" si="48"/>
        <v>127</v>
      </c>
      <c r="F81" s="34">
        <f t="shared" si="48"/>
        <v>0</v>
      </c>
      <c r="G81" s="34">
        <f t="shared" si="48"/>
        <v>254</v>
      </c>
      <c r="H81" s="34">
        <f t="shared" si="48"/>
        <v>0</v>
      </c>
      <c r="I81" s="132" t="s">
        <v>265</v>
      </c>
    </row>
    <row r="82" spans="1:9" s="2" customFormat="1" ht="14.25" hidden="1" outlineLevel="1" x14ac:dyDescent="0.2">
      <c r="B82" s="19" t="s">
        <v>141</v>
      </c>
      <c r="C82" s="139">
        <f>IF(C$30="Да",C$41,0)</f>
        <v>0.31969399999999998</v>
      </c>
      <c r="D82" s="139">
        <f>IF(D$30="Да",D$41,0)</f>
        <v>0.76507199999999997</v>
      </c>
      <c r="E82" s="139">
        <f t="shared" ref="E82:H82" si="49">IF(E$30="Да",E$41,0)</f>
        <v>0.96883200000000003</v>
      </c>
      <c r="F82" s="139">
        <f t="shared" si="49"/>
        <v>0</v>
      </c>
      <c r="G82" s="139">
        <f t="shared" si="49"/>
        <v>0</v>
      </c>
      <c r="H82" s="139">
        <f t="shared" si="49"/>
        <v>0</v>
      </c>
      <c r="I82" s="132"/>
    </row>
    <row r="83" spans="1:9" s="2" customFormat="1" hidden="1" outlineLevel="1" thickBot="1" x14ac:dyDescent="0.25">
      <c r="B83" s="33" t="s">
        <v>142</v>
      </c>
      <c r="C83" s="31">
        <f t="shared" ref="C83:H83" si="50">VLOOKUP($B83,$B$258:$C$273,2,FALSE)*C$82</f>
        <v>59.782777999999993</v>
      </c>
      <c r="D83" s="31">
        <f t="shared" si="50"/>
        <v>143.06846400000001</v>
      </c>
      <c r="E83" s="31">
        <f t="shared" si="50"/>
        <v>181.171584</v>
      </c>
      <c r="F83" s="31">
        <f t="shared" si="50"/>
        <v>0</v>
      </c>
      <c r="G83" s="31">
        <f t="shared" si="50"/>
        <v>0</v>
      </c>
      <c r="H83" s="31">
        <f t="shared" si="50"/>
        <v>0</v>
      </c>
      <c r="I83" s="132" t="s">
        <v>266</v>
      </c>
    </row>
    <row r="84" spans="1:9" s="2" customFormat="1" ht="14.25" hidden="1" outlineLevel="1" x14ac:dyDescent="0.2">
      <c r="A84" s="22"/>
      <c r="B84" s="22"/>
      <c r="C84" s="22"/>
      <c r="D84" s="22"/>
      <c r="E84" s="22"/>
      <c r="F84" s="22"/>
    </row>
    <row r="85" spans="1:9" s="2" customFormat="1" ht="14.25" hidden="1" outlineLevel="1" x14ac:dyDescent="0.2">
      <c r="A85" s="22"/>
      <c r="B85" s="42"/>
      <c r="C85" s="43"/>
      <c r="D85" s="43"/>
      <c r="E85" s="22"/>
      <c r="F85" s="22"/>
    </row>
    <row r="86" spans="1:9" s="2" customFormat="1" ht="14.25" hidden="1" outlineLevel="1" x14ac:dyDescent="0.2">
      <c r="A86" s="22"/>
      <c r="B86" s="36"/>
      <c r="C86" s="43"/>
      <c r="D86" s="43"/>
      <c r="E86" s="22"/>
      <c r="F86" s="22"/>
    </row>
    <row r="87" spans="1:9" s="2" customFormat="1" ht="14.25" hidden="1" outlineLevel="1" x14ac:dyDescent="0.2">
      <c r="A87" s="22"/>
      <c r="B87" s="36"/>
      <c r="C87" s="43"/>
      <c r="D87" s="43"/>
      <c r="E87" s="22"/>
      <c r="F87" s="22"/>
    </row>
    <row r="88" spans="1:9" s="2" customFormat="1" ht="14.25" hidden="1" outlineLevel="1" x14ac:dyDescent="0.2">
      <c r="A88" s="22"/>
      <c r="B88" s="36"/>
      <c r="C88" s="43"/>
      <c r="D88" s="43"/>
      <c r="E88" s="22"/>
      <c r="F88" s="22"/>
    </row>
    <row r="89" spans="1:9" s="2" customFormat="1" ht="14.25" hidden="1" outlineLevel="1" x14ac:dyDescent="0.2"/>
    <row r="90" spans="1:9" s="2" customFormat="1" ht="15.75" hidden="1" outlineLevel="2" thickBot="1" x14ac:dyDescent="0.25">
      <c r="B90" s="24" t="s">
        <v>0</v>
      </c>
    </row>
    <row r="91" spans="1:9" s="2" customFormat="1" ht="14.25" hidden="1" outlineLevel="2" x14ac:dyDescent="0.2">
      <c r="B91" s="87" t="s">
        <v>2</v>
      </c>
      <c r="E91" s="7"/>
    </row>
    <row r="92" spans="1:9" s="2" customFormat="1" ht="14.25" hidden="1" outlineLevel="2" x14ac:dyDescent="0.2">
      <c r="B92" s="88" t="s">
        <v>14</v>
      </c>
    </row>
    <row r="93" spans="1:9" s="2" customFormat="1" ht="14.25" hidden="1" outlineLevel="2" x14ac:dyDescent="0.2">
      <c r="B93" s="89" t="s">
        <v>147</v>
      </c>
    </row>
    <row r="94" spans="1:9" s="2" customFormat="1" ht="14.25" hidden="1" outlineLevel="2" x14ac:dyDescent="0.2">
      <c r="B94" s="88" t="s">
        <v>1</v>
      </c>
      <c r="E94" s="9"/>
    </row>
    <row r="95" spans="1:9" s="2" customFormat="1" ht="14.25" hidden="1" outlineLevel="2" x14ac:dyDescent="0.2">
      <c r="B95" s="88" t="s">
        <v>65</v>
      </c>
      <c r="E95" s="7"/>
      <c r="G95" s="7"/>
    </row>
    <row r="96" spans="1:9" s="2" customFormat="1" hidden="1" outlineLevel="2" thickBot="1" x14ac:dyDescent="0.25">
      <c r="B96" s="90" t="s">
        <v>3</v>
      </c>
    </row>
    <row r="97" spans="2:5" s="2" customFormat="1" ht="7.5" hidden="1" customHeight="1" outlineLevel="2" thickBot="1" x14ac:dyDescent="0.25"/>
    <row r="98" spans="2:5" s="2" customFormat="1" ht="14.25" hidden="1" outlineLevel="2" x14ac:dyDescent="0.2">
      <c r="B98" s="126" t="s">
        <v>151</v>
      </c>
      <c r="E98" s="7"/>
    </row>
    <row r="99" spans="2:5" s="2" customFormat="1" ht="14.25" hidden="1" outlineLevel="2" x14ac:dyDescent="0.2">
      <c r="B99" s="89" t="s">
        <v>155</v>
      </c>
      <c r="E99" s="7"/>
    </row>
    <row r="100" spans="2:5" s="2" customFormat="1" hidden="1" outlineLevel="2" thickBot="1" x14ac:dyDescent="0.25">
      <c r="B100" s="127" t="s">
        <v>156</v>
      </c>
      <c r="E100" s="7"/>
    </row>
    <row r="101" spans="2:5" s="2" customFormat="1" ht="6.75" hidden="1" customHeight="1" outlineLevel="2" thickBot="1" x14ac:dyDescent="0.25">
      <c r="E101" s="7"/>
    </row>
    <row r="102" spans="2:5" s="2" customFormat="1" ht="14.25" hidden="1" outlineLevel="2" x14ac:dyDescent="0.2">
      <c r="B102" s="126" t="s">
        <v>153</v>
      </c>
      <c r="E102" s="7"/>
    </row>
    <row r="103" spans="2:5" s="2" customFormat="1" ht="14.25" hidden="1" outlineLevel="2" x14ac:dyDescent="0.2">
      <c r="B103" s="143" t="s">
        <v>154</v>
      </c>
      <c r="E103" s="7"/>
    </row>
    <row r="104" spans="2:5" s="2" customFormat="1" ht="14.25" hidden="1" outlineLevel="2" x14ac:dyDescent="0.2">
      <c r="B104" s="89" t="s">
        <v>175</v>
      </c>
      <c r="E104" s="7"/>
    </row>
    <row r="105" spans="2:5" s="2" customFormat="1" hidden="1" outlineLevel="2" thickBot="1" x14ac:dyDescent="0.25">
      <c r="B105" s="127" t="s">
        <v>174</v>
      </c>
      <c r="E105" s="7"/>
    </row>
    <row r="106" spans="2:5" s="2" customFormat="1" ht="7.5" hidden="1" customHeight="1" outlineLevel="2" thickBot="1" x14ac:dyDescent="0.25">
      <c r="E106" s="7"/>
    </row>
    <row r="107" spans="2:5" s="2" customFormat="1" ht="14.25" hidden="1" outlineLevel="2" x14ac:dyDescent="0.2">
      <c r="B107" s="126" t="s">
        <v>168</v>
      </c>
      <c r="E107" s="7"/>
    </row>
    <row r="108" spans="2:5" s="2" customFormat="1" hidden="1" outlineLevel="2" thickBot="1" x14ac:dyDescent="0.25">
      <c r="B108" s="127" t="s">
        <v>169</v>
      </c>
      <c r="E108" s="7"/>
    </row>
    <row r="109" spans="2:5" s="2" customFormat="1" ht="14.25" hidden="1" outlineLevel="2" x14ac:dyDescent="0.2"/>
    <row r="110" spans="2:5" s="2" customFormat="1" ht="15.75" hidden="1" outlineLevel="2" thickBot="1" x14ac:dyDescent="0.25">
      <c r="B110" s="24" t="s">
        <v>50</v>
      </c>
    </row>
    <row r="111" spans="2:5" s="2" customFormat="1" ht="14.25" hidden="1" outlineLevel="2" x14ac:dyDescent="0.2">
      <c r="B111" s="87">
        <v>396</v>
      </c>
    </row>
    <row r="112" spans="2:5" s="2" customFormat="1" ht="14.25" hidden="1" outlineLevel="2" x14ac:dyDescent="0.2">
      <c r="B112" s="88">
        <v>446</v>
      </c>
    </row>
    <row r="113" spans="2:2" s="2" customFormat="1" ht="14.25" hidden="1" outlineLevel="2" x14ac:dyDescent="0.2">
      <c r="B113" s="88">
        <v>496</v>
      </c>
    </row>
    <row r="114" spans="2:2" s="2" customFormat="1" hidden="1" outlineLevel="2" thickBot="1" x14ac:dyDescent="0.25">
      <c r="B114" s="90">
        <v>596</v>
      </c>
    </row>
    <row r="115" spans="2:2" s="2" customFormat="1" ht="14.25" hidden="1" outlineLevel="2" x14ac:dyDescent="0.2"/>
    <row r="116" spans="2:2" s="2" customFormat="1" ht="15.75" hidden="1" outlineLevel="2" thickBot="1" x14ac:dyDescent="0.25">
      <c r="B116" s="24" t="s">
        <v>18</v>
      </c>
    </row>
    <row r="117" spans="2:2" s="2" customFormat="1" ht="14.25" hidden="1" outlineLevel="2" x14ac:dyDescent="0.2">
      <c r="B117" s="91" t="s">
        <v>5</v>
      </c>
    </row>
    <row r="118" spans="2:2" s="2" customFormat="1" ht="14.25" hidden="1" outlineLevel="2" x14ac:dyDescent="0.2">
      <c r="B118" s="92" t="s">
        <v>148</v>
      </c>
    </row>
    <row r="119" spans="2:2" s="2" customFormat="1" ht="14.25" hidden="1" outlineLevel="2" x14ac:dyDescent="0.2">
      <c r="B119" s="92" t="s">
        <v>149</v>
      </c>
    </row>
    <row r="120" spans="2:2" s="2" customFormat="1" ht="14.25" hidden="1" outlineLevel="2" x14ac:dyDescent="0.2">
      <c r="B120" s="88" t="s">
        <v>4</v>
      </c>
    </row>
    <row r="121" spans="2:2" s="2" customFormat="1" ht="14.25" hidden="1" outlineLevel="2" x14ac:dyDescent="0.2">
      <c r="B121" s="88" t="s">
        <v>10</v>
      </c>
    </row>
    <row r="122" spans="2:2" s="2" customFormat="1" ht="14.25" hidden="1" outlineLevel="2" x14ac:dyDescent="0.2">
      <c r="B122" s="88" t="s">
        <v>15</v>
      </c>
    </row>
    <row r="123" spans="2:2" s="2" customFormat="1" ht="14.25" hidden="1" outlineLevel="2" x14ac:dyDescent="0.2">
      <c r="B123" s="93" t="s">
        <v>16</v>
      </c>
    </row>
    <row r="124" spans="2:2" s="2" customFormat="1" ht="14.25" hidden="1" outlineLevel="2" x14ac:dyDescent="0.2">
      <c r="B124" s="93" t="s">
        <v>144</v>
      </c>
    </row>
    <row r="125" spans="2:2" s="2" customFormat="1" hidden="1" outlineLevel="2" thickBot="1" x14ac:dyDescent="0.25">
      <c r="B125" s="90" t="s">
        <v>6</v>
      </c>
    </row>
    <row r="126" spans="2:2" s="2" customFormat="1" ht="14.25" hidden="1" outlineLevel="2" x14ac:dyDescent="0.2">
      <c r="B126" s="51"/>
    </row>
    <row r="127" spans="2:2" s="2" customFormat="1" ht="15.75" hidden="1" outlineLevel="2" thickBot="1" x14ac:dyDescent="0.25">
      <c r="B127" s="24" t="s">
        <v>167</v>
      </c>
    </row>
    <row r="128" spans="2:2" s="2" customFormat="1" ht="14.25" hidden="1" outlineLevel="2" x14ac:dyDescent="0.2">
      <c r="B128" s="91" t="s">
        <v>17</v>
      </c>
    </row>
    <row r="129" spans="2:4" s="2" customFormat="1" hidden="1" outlineLevel="2" thickBot="1" x14ac:dyDescent="0.25">
      <c r="B129" s="90" t="s">
        <v>95</v>
      </c>
    </row>
    <row r="130" spans="2:4" s="2" customFormat="1" ht="14.25" hidden="1" outlineLevel="2" x14ac:dyDescent="0.2">
      <c r="B130" s="51"/>
    </row>
    <row r="131" spans="2:4" s="2" customFormat="1" ht="15.75" hidden="1" outlineLevel="2" thickBot="1" x14ac:dyDescent="0.25">
      <c r="B131" s="24" t="s">
        <v>66</v>
      </c>
    </row>
    <row r="132" spans="2:4" s="2" customFormat="1" ht="14.25" hidden="1" outlineLevel="2" x14ac:dyDescent="0.2">
      <c r="B132" s="91" t="s">
        <v>71</v>
      </c>
    </row>
    <row r="133" spans="2:4" s="2" customFormat="1" hidden="1" outlineLevel="2" thickBot="1" x14ac:dyDescent="0.25">
      <c r="B133" s="90" t="s">
        <v>5</v>
      </c>
    </row>
    <row r="134" spans="2:4" s="2" customFormat="1" ht="14.25" hidden="1" outlineLevel="2" x14ac:dyDescent="0.2"/>
    <row r="135" spans="2:4" s="2" customFormat="1" ht="15.75" hidden="1" outlineLevel="2" thickBot="1" x14ac:dyDescent="0.25">
      <c r="B135" s="49" t="s">
        <v>53</v>
      </c>
      <c r="C135" s="50"/>
      <c r="D135" s="50"/>
    </row>
    <row r="136" spans="2:4" s="2" customFormat="1" hidden="1" outlineLevel="2" thickBot="1" x14ac:dyDescent="0.25">
      <c r="B136" s="213"/>
      <c r="C136" s="220" t="s">
        <v>25</v>
      </c>
      <c r="D136" s="214" t="s">
        <v>26</v>
      </c>
    </row>
    <row r="137" spans="2:4" s="2" customFormat="1" hidden="1" outlineLevel="2" x14ac:dyDescent="0.2">
      <c r="B137" s="212" t="s">
        <v>65</v>
      </c>
      <c r="C137" s="221">
        <v>-7</v>
      </c>
      <c r="D137" s="215">
        <v>-7</v>
      </c>
    </row>
    <row r="138" spans="2:4" s="2" customFormat="1" hidden="1" outlineLevel="2" x14ac:dyDescent="0.2">
      <c r="B138" s="96" t="s">
        <v>1</v>
      </c>
      <c r="C138" s="222">
        <v>-4</v>
      </c>
      <c r="D138" s="216">
        <v>-4</v>
      </c>
    </row>
    <row r="139" spans="2:4" s="2" customFormat="1" hidden="1" outlineLevel="2" x14ac:dyDescent="0.2">
      <c r="B139" s="97" t="s">
        <v>153</v>
      </c>
      <c r="C139" s="223">
        <v>-7</v>
      </c>
      <c r="D139" s="217">
        <v>-7</v>
      </c>
    </row>
    <row r="140" spans="2:4" s="2" customFormat="1" hidden="1" outlineLevel="2" x14ac:dyDescent="0.2">
      <c r="B140" s="97" t="s">
        <v>154</v>
      </c>
      <c r="C140" s="223">
        <v>-7</v>
      </c>
      <c r="D140" s="217">
        <v>-7</v>
      </c>
    </row>
    <row r="141" spans="2:4" s="2" customFormat="1" hidden="1" outlineLevel="2" x14ac:dyDescent="0.2">
      <c r="B141" s="97" t="s">
        <v>175</v>
      </c>
      <c r="C141" s="223">
        <v>-7</v>
      </c>
      <c r="D141" s="217">
        <v>-7</v>
      </c>
    </row>
    <row r="142" spans="2:4" s="2" customFormat="1" hidden="1" outlineLevel="2" x14ac:dyDescent="0.2">
      <c r="B142" s="97" t="s">
        <v>174</v>
      </c>
      <c r="C142" s="223">
        <v>-7</v>
      </c>
      <c r="D142" s="217">
        <v>-7</v>
      </c>
    </row>
    <row r="143" spans="2:4" s="2" customFormat="1" hidden="1" outlineLevel="2" x14ac:dyDescent="0.2">
      <c r="B143" s="97" t="s">
        <v>151</v>
      </c>
      <c r="C143" s="223">
        <v>-40</v>
      </c>
      <c r="D143" s="217">
        <v>-40</v>
      </c>
    </row>
    <row r="144" spans="2:4" s="2" customFormat="1" hidden="1" outlineLevel="2" x14ac:dyDescent="0.2">
      <c r="B144" s="97" t="s">
        <v>155</v>
      </c>
      <c r="C144" s="223">
        <v>-7</v>
      </c>
      <c r="D144" s="217">
        <v>-7</v>
      </c>
    </row>
    <row r="145" spans="2:4" s="2" customFormat="1" hidden="1" outlineLevel="2" x14ac:dyDescent="0.2">
      <c r="B145" s="97" t="s">
        <v>156</v>
      </c>
      <c r="C145" s="223">
        <v>-7</v>
      </c>
      <c r="D145" s="217">
        <v>-7</v>
      </c>
    </row>
    <row r="146" spans="2:4" s="2" customFormat="1" hidden="1" outlineLevel="2" x14ac:dyDescent="0.2">
      <c r="B146" s="97" t="s">
        <v>147</v>
      </c>
      <c r="C146" s="223">
        <v>-5</v>
      </c>
      <c r="D146" s="217">
        <v>-5</v>
      </c>
    </row>
    <row r="147" spans="2:4" s="2" customFormat="1" hidden="1" outlineLevel="2" x14ac:dyDescent="0.2">
      <c r="B147" s="96" t="s">
        <v>14</v>
      </c>
      <c r="C147" s="224">
        <v>-5</v>
      </c>
      <c r="D147" s="218">
        <v>-5</v>
      </c>
    </row>
    <row r="148" spans="2:4" s="2" customFormat="1" hidden="1" outlineLevel="2" x14ac:dyDescent="0.2">
      <c r="B148" s="96" t="s">
        <v>2</v>
      </c>
      <c r="C148" s="224">
        <v>-29</v>
      </c>
      <c r="D148" s="218">
        <v>-28</v>
      </c>
    </row>
    <row r="149" spans="2:4" s="2" customFormat="1" ht="15.75" hidden="1" outlineLevel="2" thickBot="1" x14ac:dyDescent="0.25">
      <c r="B149" s="98" t="s">
        <v>3</v>
      </c>
      <c r="C149" s="225">
        <v>-17</v>
      </c>
      <c r="D149" s="219">
        <v>-88</v>
      </c>
    </row>
    <row r="150" spans="2:4" s="2" customFormat="1" ht="14.25" hidden="1" outlineLevel="2" x14ac:dyDescent="0.2">
      <c r="B150" s="4"/>
    </row>
    <row r="151" spans="2:4" s="2" customFormat="1" ht="15.75" hidden="1" outlineLevel="2" thickBot="1" x14ac:dyDescent="0.25">
      <c r="B151" s="24" t="s">
        <v>67</v>
      </c>
    </row>
    <row r="152" spans="2:4" s="2" customFormat="1" hidden="1" outlineLevel="2" thickBot="1" x14ac:dyDescent="0.25">
      <c r="B152" s="211"/>
      <c r="C152" s="211"/>
    </row>
    <row r="153" spans="2:4" s="2" customFormat="1" ht="14.25" hidden="1" outlineLevel="2" x14ac:dyDescent="0.2">
      <c r="B153" s="209" t="s">
        <v>134</v>
      </c>
      <c r="C153" s="210"/>
    </row>
    <row r="154" spans="2:4" s="2" customFormat="1" ht="14.25" hidden="1" outlineLevel="2" x14ac:dyDescent="0.2">
      <c r="B154" s="88" t="s">
        <v>11</v>
      </c>
      <c r="C154" s="207"/>
    </row>
    <row r="155" spans="2:4" s="2" customFormat="1" ht="14.25" hidden="1" outlineLevel="2" x14ac:dyDescent="0.2">
      <c r="B155" s="93" t="s">
        <v>12</v>
      </c>
      <c r="C155" s="207"/>
    </row>
    <row r="156" spans="2:4" s="2" customFormat="1" ht="14.25" hidden="1" outlineLevel="2" x14ac:dyDescent="0.2">
      <c r="B156" s="93" t="s">
        <v>146</v>
      </c>
      <c r="C156" s="207"/>
    </row>
    <row r="157" spans="2:4" s="2" customFormat="1" ht="14.25" hidden="1" outlineLevel="2" x14ac:dyDescent="0.2">
      <c r="B157" s="129" t="s">
        <v>228</v>
      </c>
      <c r="C157" s="206"/>
    </row>
    <row r="158" spans="2:4" s="2" customFormat="1" hidden="1" outlineLevel="2" thickBot="1" x14ac:dyDescent="0.25">
      <c r="B158" s="90" t="s">
        <v>13</v>
      </c>
      <c r="C158" s="208"/>
    </row>
    <row r="159" spans="2:4" s="2" customFormat="1" ht="14.25" hidden="1" outlineLevel="2" x14ac:dyDescent="0.2">
      <c r="B159" s="4"/>
    </row>
    <row r="160" spans="2:4" s="2" customFormat="1" hidden="1" outlineLevel="2" thickBot="1" x14ac:dyDescent="0.25">
      <c r="B160" s="53" t="s">
        <v>79</v>
      </c>
      <c r="C160" s="54" t="s">
        <v>80</v>
      </c>
    </row>
    <row r="161" spans="2:4" s="2" customFormat="1" ht="15.75" hidden="1" outlineLevel="2" x14ac:dyDescent="0.2">
      <c r="B161" s="150" t="s">
        <v>176</v>
      </c>
      <c r="C161" s="116" t="s">
        <v>111</v>
      </c>
    </row>
    <row r="162" spans="2:4" s="2" customFormat="1" ht="15.75" hidden="1" outlineLevel="2" x14ac:dyDescent="0.2">
      <c r="B162" s="151" t="s">
        <v>177</v>
      </c>
      <c r="C162" s="95" t="s">
        <v>112</v>
      </c>
    </row>
    <row r="163" spans="2:4" s="2" customFormat="1" ht="15.75" hidden="1" outlineLevel="2" x14ac:dyDescent="0.2">
      <c r="B163" s="151" t="s">
        <v>178</v>
      </c>
      <c r="C163" s="95" t="s">
        <v>145</v>
      </c>
    </row>
    <row r="164" spans="2:4" s="2" customFormat="1" ht="15.75" hidden="1" outlineLevel="2" x14ac:dyDescent="0.2">
      <c r="B164" s="151" t="s">
        <v>179</v>
      </c>
      <c r="C164" s="95" t="s">
        <v>113</v>
      </c>
    </row>
    <row r="165" spans="2:4" s="2" customFormat="1" ht="15.75" hidden="1" outlineLevel="2" x14ac:dyDescent="0.2">
      <c r="B165" s="151" t="s">
        <v>180</v>
      </c>
      <c r="C165" s="95" t="s">
        <v>112</v>
      </c>
    </row>
    <row r="166" spans="2:4" s="2" customFormat="1" ht="15.75" hidden="1" outlineLevel="2" x14ac:dyDescent="0.2">
      <c r="B166" s="151" t="s">
        <v>181</v>
      </c>
      <c r="C166" s="95" t="s">
        <v>112</v>
      </c>
    </row>
    <row r="167" spans="2:4" s="2" customFormat="1" ht="15.75" hidden="1" outlineLevel="2" x14ac:dyDescent="0.2">
      <c r="B167" s="151" t="s">
        <v>182</v>
      </c>
      <c r="C167" s="95" t="s">
        <v>111</v>
      </c>
    </row>
    <row r="168" spans="2:4" s="2" customFormat="1" ht="15.75" hidden="1" outlineLevel="2" x14ac:dyDescent="0.2">
      <c r="B168" s="152" t="s">
        <v>183</v>
      </c>
      <c r="C168" s="205" t="s">
        <v>113</v>
      </c>
      <c r="D168" s="48"/>
    </row>
    <row r="169" spans="2:4" s="2" customFormat="1" ht="16.5" hidden="1" outlineLevel="2" thickBot="1" x14ac:dyDescent="0.25">
      <c r="B169" s="158" t="s">
        <v>184</v>
      </c>
      <c r="C169" s="205" t="s">
        <v>113</v>
      </c>
    </row>
    <row r="170" spans="2:4" s="2" customFormat="1" ht="15.75" hidden="1" outlineLevel="2" x14ac:dyDescent="0.2">
      <c r="B170" s="150" t="s">
        <v>185</v>
      </c>
      <c r="C170" s="95" t="s">
        <v>111</v>
      </c>
    </row>
    <row r="171" spans="2:4" s="2" customFormat="1" ht="15.75" hidden="1" outlineLevel="2" x14ac:dyDescent="0.2">
      <c r="B171" s="151" t="s">
        <v>186</v>
      </c>
      <c r="C171" s="95" t="s">
        <v>112</v>
      </c>
    </row>
    <row r="172" spans="2:4" s="2" customFormat="1" ht="16.5" hidden="1" outlineLevel="2" thickBot="1" x14ac:dyDescent="0.25">
      <c r="B172" s="153" t="s">
        <v>187</v>
      </c>
      <c r="C172" s="95" t="s">
        <v>113</v>
      </c>
    </row>
    <row r="173" spans="2:4" s="2" customFormat="1" ht="15.75" hidden="1" outlineLevel="2" x14ac:dyDescent="0.2">
      <c r="B173" s="150" t="s">
        <v>188</v>
      </c>
      <c r="C173" s="95" t="s">
        <v>111</v>
      </c>
    </row>
    <row r="174" spans="2:4" s="2" customFormat="1" ht="15.75" hidden="1" outlineLevel="2" x14ac:dyDescent="0.2">
      <c r="B174" s="151" t="s">
        <v>189</v>
      </c>
      <c r="C174" s="95" t="s">
        <v>112</v>
      </c>
    </row>
    <row r="175" spans="2:4" s="2" customFormat="1" ht="15.75" hidden="1" outlineLevel="2" x14ac:dyDescent="0.2">
      <c r="B175" s="151" t="s">
        <v>190</v>
      </c>
      <c r="C175" s="95" t="s">
        <v>145</v>
      </c>
    </row>
    <row r="176" spans="2:4" s="2" customFormat="1" ht="15.75" hidden="1" outlineLevel="2" x14ac:dyDescent="0.2">
      <c r="B176" s="151" t="s">
        <v>191</v>
      </c>
      <c r="C176" s="95" t="s">
        <v>113</v>
      </c>
    </row>
    <row r="177" spans="2:3" s="2" customFormat="1" ht="15.75" hidden="1" outlineLevel="2" x14ac:dyDescent="0.2">
      <c r="B177" s="151" t="s">
        <v>192</v>
      </c>
      <c r="C177" s="95" t="s">
        <v>112</v>
      </c>
    </row>
    <row r="178" spans="2:3" s="2" customFormat="1" ht="15.75" hidden="1" outlineLevel="2" x14ac:dyDescent="0.2">
      <c r="B178" s="151" t="s">
        <v>193</v>
      </c>
      <c r="C178" s="95" t="s">
        <v>112</v>
      </c>
    </row>
    <row r="179" spans="2:3" s="2" customFormat="1" ht="15.75" hidden="1" outlineLevel="2" x14ac:dyDescent="0.2">
      <c r="B179" s="152" t="s">
        <v>194</v>
      </c>
      <c r="C179" s="205" t="s">
        <v>113</v>
      </c>
    </row>
    <row r="180" spans="2:3" s="2" customFormat="1" ht="15.75" hidden="1" outlineLevel="2" x14ac:dyDescent="0.2">
      <c r="B180" s="157" t="s">
        <v>195</v>
      </c>
      <c r="C180" s="205" t="s">
        <v>113</v>
      </c>
    </row>
    <row r="181" spans="2:3" s="2" customFormat="1" ht="16.5" hidden="1" outlineLevel="2" thickBot="1" x14ac:dyDescent="0.25">
      <c r="B181" s="203" t="s">
        <v>196</v>
      </c>
      <c r="C181" s="95" t="s">
        <v>111</v>
      </c>
    </row>
    <row r="182" spans="2:3" s="2" customFormat="1" ht="15.75" hidden="1" outlineLevel="2" x14ac:dyDescent="0.2">
      <c r="B182" s="154" t="s">
        <v>197</v>
      </c>
      <c r="C182" s="206" t="s">
        <v>113</v>
      </c>
    </row>
    <row r="183" spans="2:3" s="2" customFormat="1" ht="15.75" hidden="1" outlineLevel="2" x14ac:dyDescent="0.2">
      <c r="B183" s="152" t="s">
        <v>281</v>
      </c>
      <c r="C183" s="206" t="s">
        <v>111</v>
      </c>
    </row>
    <row r="184" spans="2:3" s="2" customFormat="1" ht="16.5" hidden="1" outlineLevel="2" thickBot="1" x14ac:dyDescent="0.25">
      <c r="B184" s="156" t="s">
        <v>198</v>
      </c>
      <c r="C184" s="206" t="s">
        <v>112</v>
      </c>
    </row>
    <row r="185" spans="2:3" s="2" customFormat="1" ht="15.75" hidden="1" outlineLevel="2" x14ac:dyDescent="0.2">
      <c r="B185" s="154" t="s">
        <v>199</v>
      </c>
      <c r="C185" s="206" t="s">
        <v>113</v>
      </c>
    </row>
    <row r="186" spans="2:3" s="2" customFormat="1" ht="15.75" hidden="1" outlineLevel="2" x14ac:dyDescent="0.2">
      <c r="B186" s="152" t="s">
        <v>282</v>
      </c>
      <c r="C186" s="206" t="s">
        <v>111</v>
      </c>
    </row>
    <row r="187" spans="2:3" s="2" customFormat="1" ht="16.5" hidden="1" outlineLevel="2" thickBot="1" x14ac:dyDescent="0.25">
      <c r="B187" s="155" t="s">
        <v>200</v>
      </c>
      <c r="C187" s="206" t="s">
        <v>112</v>
      </c>
    </row>
    <row r="188" spans="2:3" s="2" customFormat="1" ht="15.75" hidden="1" outlineLevel="2" x14ac:dyDescent="0.2">
      <c r="B188" s="154" t="s">
        <v>201</v>
      </c>
      <c r="C188" s="206" t="s">
        <v>113</v>
      </c>
    </row>
    <row r="189" spans="2:3" s="2" customFormat="1" ht="15.75" hidden="1" outlineLevel="2" x14ac:dyDescent="0.2">
      <c r="B189" s="152" t="s">
        <v>293</v>
      </c>
      <c r="C189" s="206" t="s">
        <v>111</v>
      </c>
    </row>
    <row r="190" spans="2:3" s="2" customFormat="1" ht="16.5" hidden="1" outlineLevel="2" thickBot="1" x14ac:dyDescent="0.25">
      <c r="B190" s="155" t="s">
        <v>202</v>
      </c>
      <c r="C190" s="206" t="s">
        <v>112</v>
      </c>
    </row>
    <row r="191" spans="2:3" s="2" customFormat="1" ht="15.75" hidden="1" outlineLevel="2" x14ac:dyDescent="0.2">
      <c r="B191" s="154" t="s">
        <v>203</v>
      </c>
      <c r="C191" s="206" t="s">
        <v>113</v>
      </c>
    </row>
    <row r="192" spans="2:3" s="2" customFormat="1" ht="15.75" hidden="1" outlineLevel="2" x14ac:dyDescent="0.2">
      <c r="B192" s="152" t="s">
        <v>294</v>
      </c>
      <c r="C192" s="206" t="s">
        <v>111</v>
      </c>
    </row>
    <row r="193" spans="2:3" s="2" customFormat="1" ht="16.5" hidden="1" outlineLevel="2" thickBot="1" x14ac:dyDescent="0.25">
      <c r="B193" s="155" t="s">
        <v>204</v>
      </c>
      <c r="C193" s="206" t="s">
        <v>112</v>
      </c>
    </row>
    <row r="194" spans="2:3" s="2" customFormat="1" ht="15.75" hidden="1" outlineLevel="2" x14ac:dyDescent="0.2">
      <c r="B194" s="154" t="s">
        <v>205</v>
      </c>
      <c r="C194" s="206" t="s">
        <v>113</v>
      </c>
    </row>
    <row r="195" spans="2:3" s="2" customFormat="1" ht="15.75" hidden="1" outlineLevel="2" x14ac:dyDescent="0.2">
      <c r="B195" s="152" t="s">
        <v>221</v>
      </c>
      <c r="C195" s="206" t="s">
        <v>111</v>
      </c>
    </row>
    <row r="196" spans="2:3" s="2" customFormat="1" ht="16.5" hidden="1" outlineLevel="2" thickBot="1" x14ac:dyDescent="0.25">
      <c r="B196" s="156" t="s">
        <v>206</v>
      </c>
      <c r="C196" s="206" t="s">
        <v>112</v>
      </c>
    </row>
    <row r="197" spans="2:3" s="2" customFormat="1" ht="15.75" hidden="1" outlineLevel="2" x14ac:dyDescent="0.2">
      <c r="B197" s="154" t="s">
        <v>207</v>
      </c>
      <c r="C197" s="206" t="s">
        <v>113</v>
      </c>
    </row>
    <row r="198" spans="2:3" s="2" customFormat="1" ht="15.75" hidden="1" outlineLevel="2" x14ac:dyDescent="0.2">
      <c r="B198" s="152" t="s">
        <v>222</v>
      </c>
      <c r="C198" s="206" t="s">
        <v>111</v>
      </c>
    </row>
    <row r="199" spans="2:3" s="2" customFormat="1" ht="16.5" hidden="1" outlineLevel="2" thickBot="1" x14ac:dyDescent="0.25">
      <c r="B199" s="156" t="s">
        <v>208</v>
      </c>
      <c r="C199" s="206" t="s">
        <v>112</v>
      </c>
    </row>
    <row r="200" spans="2:3" s="2" customFormat="1" ht="15.75" hidden="1" outlineLevel="2" x14ac:dyDescent="0.2">
      <c r="B200" s="154" t="s">
        <v>209</v>
      </c>
      <c r="C200" s="206" t="s">
        <v>113</v>
      </c>
    </row>
    <row r="201" spans="2:3" s="2" customFormat="1" ht="15.75" hidden="1" outlineLevel="2" x14ac:dyDescent="0.2">
      <c r="B201" s="152" t="s">
        <v>295</v>
      </c>
      <c r="C201" s="206" t="s">
        <v>111</v>
      </c>
    </row>
    <row r="202" spans="2:3" s="2" customFormat="1" ht="16.5" hidden="1" outlineLevel="2" thickBot="1" x14ac:dyDescent="0.25">
      <c r="B202" s="155" t="s">
        <v>210</v>
      </c>
      <c r="C202" s="206" t="s">
        <v>112</v>
      </c>
    </row>
    <row r="203" spans="2:3" s="2" customFormat="1" ht="15.75" hidden="1" outlineLevel="2" x14ac:dyDescent="0.2">
      <c r="B203" s="201" t="s">
        <v>211</v>
      </c>
      <c r="C203" s="95" t="s">
        <v>111</v>
      </c>
    </row>
    <row r="204" spans="2:3" s="2" customFormat="1" ht="15.75" hidden="1" outlineLevel="2" x14ac:dyDescent="0.2">
      <c r="B204" s="151" t="s">
        <v>212</v>
      </c>
      <c r="C204" s="95" t="s">
        <v>112</v>
      </c>
    </row>
    <row r="205" spans="2:3" s="2" customFormat="1" ht="15.75" hidden="1" outlineLevel="2" x14ac:dyDescent="0.2">
      <c r="B205" s="151" t="s">
        <v>213</v>
      </c>
      <c r="C205" s="95" t="s">
        <v>113</v>
      </c>
    </row>
    <row r="206" spans="2:3" s="2" customFormat="1" ht="15.75" hidden="1" outlineLevel="2" x14ac:dyDescent="0.2">
      <c r="B206" s="151" t="s">
        <v>214</v>
      </c>
      <c r="C206" s="95" t="s">
        <v>112</v>
      </c>
    </row>
    <row r="207" spans="2:3" s="2" customFormat="1" ht="15.75" hidden="1" outlineLevel="2" x14ac:dyDescent="0.2">
      <c r="B207" s="151" t="s">
        <v>215</v>
      </c>
      <c r="C207" s="95" t="s">
        <v>111</v>
      </c>
    </row>
    <row r="208" spans="2:3" s="2" customFormat="1" ht="15.75" hidden="1" outlineLevel="2" x14ac:dyDescent="0.2">
      <c r="B208" s="152" t="s">
        <v>216</v>
      </c>
      <c r="C208" s="206" t="s">
        <v>113</v>
      </c>
    </row>
    <row r="209" spans="2:4" s="2" customFormat="1" ht="16.5" hidden="1" outlineLevel="2" thickBot="1" x14ac:dyDescent="0.25">
      <c r="B209" s="152" t="s">
        <v>217</v>
      </c>
      <c r="C209" s="206" t="s">
        <v>113</v>
      </c>
    </row>
    <row r="210" spans="2:4" s="2" customFormat="1" ht="15.75" hidden="1" outlineLevel="2" x14ac:dyDescent="0.2">
      <c r="B210" s="202" t="s">
        <v>218</v>
      </c>
      <c r="C210" s="95" t="s">
        <v>114</v>
      </c>
    </row>
    <row r="211" spans="2:4" s="2" customFormat="1" ht="15.75" hidden="1" outlineLevel="2" x14ac:dyDescent="0.2">
      <c r="B211" s="151" t="s">
        <v>219</v>
      </c>
      <c r="C211" s="95" t="s">
        <v>115</v>
      </c>
    </row>
    <row r="212" spans="2:4" s="2" customFormat="1" ht="16.5" hidden="1" outlineLevel="2" thickBot="1" x14ac:dyDescent="0.25">
      <c r="B212" s="204" t="s">
        <v>220</v>
      </c>
      <c r="C212" s="117" t="s">
        <v>116</v>
      </c>
    </row>
    <row r="213" spans="2:4" s="2" customFormat="1" hidden="1" outlineLevel="2" x14ac:dyDescent="0.2">
      <c r="B213" s="52"/>
      <c r="C213" s="11"/>
    </row>
    <row r="214" spans="2:4" s="2" customFormat="1" ht="15.75" hidden="1" outlineLevel="2" thickBot="1" x14ac:dyDescent="0.25">
      <c r="B214" s="24" t="s">
        <v>9</v>
      </c>
    </row>
    <row r="215" spans="2:4" s="2" customFormat="1" hidden="1" outlineLevel="2" thickBot="1" x14ac:dyDescent="0.25">
      <c r="B215" s="193"/>
      <c r="C215" s="194" t="s">
        <v>30</v>
      </c>
    </row>
    <row r="216" spans="2:4" s="2" customFormat="1" ht="14.25" hidden="1" outlineLevel="2" x14ac:dyDescent="0.2">
      <c r="B216" s="197" t="s">
        <v>120</v>
      </c>
      <c r="C216" s="198">
        <v>726.5</v>
      </c>
    </row>
    <row r="217" spans="2:4" s="2" customFormat="1" ht="14.25" hidden="1" outlineLevel="2" x14ac:dyDescent="0.2">
      <c r="B217" s="188" t="s">
        <v>121</v>
      </c>
      <c r="C217" s="181">
        <v>1723.72</v>
      </c>
    </row>
    <row r="218" spans="2:4" s="2" customFormat="1" ht="14.25" hidden="1" outlineLevel="2" x14ac:dyDescent="0.2">
      <c r="B218" s="188" t="s">
        <v>124</v>
      </c>
      <c r="C218" s="181">
        <v>2199.85</v>
      </c>
    </row>
    <row r="219" spans="2:4" s="2" customFormat="1" ht="14.25" hidden="1" outlineLevel="2" x14ac:dyDescent="0.2">
      <c r="B219" s="188" t="s">
        <v>119</v>
      </c>
      <c r="C219" s="181">
        <v>1420</v>
      </c>
    </row>
    <row r="220" spans="2:4" s="2" customFormat="1" ht="14.25" hidden="1" outlineLevel="2" x14ac:dyDescent="0.2">
      <c r="B220" s="188" t="s">
        <v>118</v>
      </c>
      <c r="C220" s="181">
        <v>3010.59</v>
      </c>
    </row>
    <row r="221" spans="2:4" s="2" customFormat="1" ht="14.25" hidden="1" outlineLevel="2" x14ac:dyDescent="0.2">
      <c r="B221" s="188" t="s">
        <v>123</v>
      </c>
      <c r="C221" s="181">
        <v>1597.6</v>
      </c>
    </row>
    <row r="222" spans="2:4" s="2" customFormat="1" hidden="1" outlineLevel="2" thickBot="1" x14ac:dyDescent="0.25">
      <c r="B222" s="199" t="s">
        <v>122</v>
      </c>
      <c r="C222" s="200">
        <v>3036.27</v>
      </c>
    </row>
    <row r="223" spans="2:4" s="2" customFormat="1" ht="14.25" hidden="1" outlineLevel="2" x14ac:dyDescent="0.2">
      <c r="B223" s="195" t="s">
        <v>125</v>
      </c>
      <c r="C223" s="196">
        <f t="shared" ref="C223:C229" si="51">IFERROR(HLOOKUP($B223,$C$18:$G$19,2,FALSE),0)</f>
        <v>0</v>
      </c>
      <c r="D223" s="2" t="s">
        <v>78</v>
      </c>
    </row>
    <row r="224" spans="2:4" s="2" customFormat="1" ht="14.25" hidden="1" outlineLevel="2" x14ac:dyDescent="0.2">
      <c r="B224" s="189" t="s">
        <v>126</v>
      </c>
      <c r="C224" s="191">
        <f t="shared" si="51"/>
        <v>0</v>
      </c>
      <c r="D224" s="2" t="s">
        <v>78</v>
      </c>
    </row>
    <row r="225" spans="2:6" s="2" customFormat="1" ht="14.25" hidden="1" outlineLevel="2" x14ac:dyDescent="0.2">
      <c r="B225" s="189" t="s">
        <v>127</v>
      </c>
      <c r="C225" s="191">
        <f t="shared" si="51"/>
        <v>0</v>
      </c>
      <c r="D225" s="2" t="s">
        <v>78</v>
      </c>
    </row>
    <row r="226" spans="2:6" s="2" customFormat="1" ht="14.25" hidden="1" outlineLevel="2" x14ac:dyDescent="0.2">
      <c r="B226" s="189" t="s">
        <v>128</v>
      </c>
      <c r="C226" s="191">
        <f t="shared" si="51"/>
        <v>0</v>
      </c>
      <c r="D226" s="2" t="s">
        <v>78</v>
      </c>
    </row>
    <row r="227" spans="2:6" s="2" customFormat="1" ht="14.25" hidden="1" outlineLevel="2" x14ac:dyDescent="0.2">
      <c r="B227" s="189" t="s">
        <v>129</v>
      </c>
      <c r="C227" s="191">
        <f t="shared" si="51"/>
        <v>0</v>
      </c>
      <c r="D227" s="2" t="s">
        <v>78</v>
      </c>
    </row>
    <row r="228" spans="2:6" s="2" customFormat="1" ht="14.25" hidden="1" outlineLevel="2" x14ac:dyDescent="0.2">
      <c r="B228" s="189" t="s">
        <v>130</v>
      </c>
      <c r="C228" s="191">
        <f t="shared" si="51"/>
        <v>0</v>
      </c>
      <c r="D228" s="2" t="s">
        <v>78</v>
      </c>
    </row>
    <row r="229" spans="2:6" s="2" customFormat="1" ht="14.25" hidden="1" outlineLevel="2" x14ac:dyDescent="0.2">
      <c r="B229" s="189" t="s">
        <v>131</v>
      </c>
      <c r="C229" s="191">
        <f t="shared" si="51"/>
        <v>0</v>
      </c>
      <c r="D229" s="2" t="s">
        <v>78</v>
      </c>
    </row>
    <row r="230" spans="2:6" s="2" customFormat="1" ht="14.25" hidden="1" outlineLevel="2" x14ac:dyDescent="0.2">
      <c r="B230" s="189" t="s">
        <v>132</v>
      </c>
      <c r="C230" s="191">
        <v>0</v>
      </c>
      <c r="D230" s="2" t="s">
        <v>78</v>
      </c>
    </row>
    <row r="231" spans="2:6" s="2" customFormat="1" hidden="1" outlineLevel="2" thickBot="1" x14ac:dyDescent="0.25">
      <c r="B231" s="190" t="s">
        <v>117</v>
      </c>
      <c r="C231" s="192">
        <f>IFERROR(HLOOKUP($B231,$C$18:$G$19,2,FALSE),0)</f>
        <v>0</v>
      </c>
      <c r="D231" s="2" t="s">
        <v>78</v>
      </c>
    </row>
    <row r="232" spans="2:6" s="2" customFormat="1" ht="14.25" hidden="1" outlineLevel="2" x14ac:dyDescent="0.2">
      <c r="C232" s="11"/>
    </row>
    <row r="233" spans="2:6" s="2" customFormat="1" ht="15.75" hidden="1" outlineLevel="2" thickBot="1" x14ac:dyDescent="0.25">
      <c r="B233" s="25" t="s">
        <v>31</v>
      </c>
    </row>
    <row r="234" spans="2:6" s="2" customFormat="1" hidden="1" outlineLevel="2" thickBot="1" x14ac:dyDescent="0.25">
      <c r="B234" s="168"/>
      <c r="C234" s="169" t="s">
        <v>48</v>
      </c>
    </row>
    <row r="235" spans="2:6" s="2" customFormat="1" hidden="1" outlineLevel="2" thickBot="1" x14ac:dyDescent="0.25">
      <c r="B235" s="175" t="s">
        <v>29</v>
      </c>
      <c r="C235" s="184">
        <v>22.96</v>
      </c>
      <c r="D235" s="50" t="s">
        <v>46</v>
      </c>
      <c r="E235" s="48"/>
    </row>
    <row r="236" spans="2:6" s="2" customFormat="1" ht="14.25" hidden="1" outlineLevel="2" x14ac:dyDescent="0.2">
      <c r="B236" s="176" t="s">
        <v>115</v>
      </c>
      <c r="C236" s="186">
        <v>0.9</v>
      </c>
      <c r="D236" s="48"/>
      <c r="F236" s="48"/>
    </row>
    <row r="237" spans="2:6" s="2" customFormat="1" ht="14.25" hidden="1" outlineLevel="2" x14ac:dyDescent="0.2">
      <c r="B237" s="177" t="s">
        <v>114</v>
      </c>
      <c r="C237" s="179">
        <v>0.85</v>
      </c>
      <c r="D237" s="48"/>
      <c r="F237" s="48"/>
    </row>
    <row r="238" spans="2:6" s="2" customFormat="1" ht="14.25" hidden="1" outlineLevel="2" x14ac:dyDescent="0.2">
      <c r="B238" s="177" t="s">
        <v>116</v>
      </c>
      <c r="C238" s="179">
        <v>1.81</v>
      </c>
      <c r="D238" s="48"/>
      <c r="F238" s="48"/>
    </row>
    <row r="239" spans="2:6" s="2" customFormat="1" ht="19.5" hidden="1" outlineLevel="2" x14ac:dyDescent="0.25">
      <c r="B239" s="177" t="s">
        <v>246</v>
      </c>
      <c r="C239" s="114">
        <v>80</v>
      </c>
      <c r="D239" s="48"/>
      <c r="F239" s="48"/>
    </row>
    <row r="240" spans="2:6" s="2" customFormat="1" ht="14.25" hidden="1" outlineLevel="2" x14ac:dyDescent="0.2">
      <c r="B240" s="177" t="s">
        <v>113</v>
      </c>
      <c r="C240" s="179">
        <v>0.7</v>
      </c>
      <c r="D240" s="48"/>
      <c r="F240" s="48"/>
    </row>
    <row r="241" spans="2:6" s="2" customFormat="1" ht="14.25" hidden="1" outlineLevel="2" x14ac:dyDescent="0.2">
      <c r="B241" s="177" t="s">
        <v>111</v>
      </c>
      <c r="C241" s="179">
        <v>0.51</v>
      </c>
      <c r="D241" s="48"/>
      <c r="F241" s="48"/>
    </row>
    <row r="242" spans="2:6" s="2" customFormat="1" hidden="1" outlineLevel="2" thickBot="1" x14ac:dyDescent="0.25">
      <c r="B242" s="178" t="s">
        <v>112</v>
      </c>
      <c r="C242" s="187">
        <v>0.7</v>
      </c>
      <c r="D242" s="48"/>
      <c r="F242" s="48"/>
    </row>
    <row r="243" spans="2:6" s="2" customFormat="1" ht="15.75" hidden="1" outlineLevel="2" x14ac:dyDescent="0.2">
      <c r="B243" s="157" t="s">
        <v>153</v>
      </c>
      <c r="C243" s="185">
        <v>70.099999999999994</v>
      </c>
      <c r="D243" s="50" t="s">
        <v>108</v>
      </c>
      <c r="F243" s="48"/>
    </row>
    <row r="244" spans="2:6" s="2" customFormat="1" ht="15.75" hidden="1" outlineLevel="2" x14ac:dyDescent="0.2">
      <c r="B244" s="152" t="s">
        <v>154</v>
      </c>
      <c r="C244" s="180">
        <v>70.099999999999994</v>
      </c>
      <c r="D244" s="50" t="s">
        <v>108</v>
      </c>
      <c r="F244" s="48"/>
    </row>
    <row r="245" spans="2:6" s="2" customFormat="1" ht="15.75" hidden="1" outlineLevel="2" x14ac:dyDescent="0.2">
      <c r="B245" s="152" t="s">
        <v>175</v>
      </c>
      <c r="C245" s="180">
        <v>70.099999999999994</v>
      </c>
      <c r="D245" s="50" t="s">
        <v>108</v>
      </c>
      <c r="F245" s="48"/>
    </row>
    <row r="246" spans="2:6" s="2" customFormat="1" ht="15.75" hidden="1" outlineLevel="2" x14ac:dyDescent="0.2">
      <c r="B246" s="152" t="s">
        <v>174</v>
      </c>
      <c r="C246" s="180">
        <v>70.099999999999994</v>
      </c>
      <c r="D246" s="50" t="s">
        <v>108</v>
      </c>
      <c r="F246" s="48"/>
    </row>
    <row r="247" spans="2:6" s="2" customFormat="1" ht="15.75" hidden="1" outlineLevel="2" x14ac:dyDescent="0.2">
      <c r="B247" s="152" t="s">
        <v>151</v>
      </c>
      <c r="C247" s="181">
        <v>569.4</v>
      </c>
      <c r="D247" s="50" t="s">
        <v>173</v>
      </c>
      <c r="F247" s="48"/>
    </row>
    <row r="248" spans="2:6" s="2" customFormat="1" ht="15.75" hidden="1" outlineLevel="2" x14ac:dyDescent="0.2">
      <c r="B248" s="152" t="s">
        <v>155</v>
      </c>
      <c r="C248" s="181">
        <v>569.4</v>
      </c>
      <c r="D248" s="50" t="s">
        <v>173</v>
      </c>
      <c r="F248" s="48"/>
    </row>
    <row r="249" spans="2:6" s="2" customFormat="1" ht="15.75" hidden="1" outlineLevel="2" x14ac:dyDescent="0.2">
      <c r="B249" s="152" t="s">
        <v>156</v>
      </c>
      <c r="C249" s="181">
        <v>569.4</v>
      </c>
      <c r="D249" s="50" t="s">
        <v>173</v>
      </c>
      <c r="F249" s="48"/>
    </row>
    <row r="250" spans="2:6" s="2" customFormat="1" ht="15.75" hidden="1" outlineLevel="2" x14ac:dyDescent="0.2">
      <c r="B250" s="151" t="s">
        <v>65</v>
      </c>
      <c r="C250" s="182">
        <v>86.06</v>
      </c>
      <c r="D250" s="50" t="s">
        <v>107</v>
      </c>
    </row>
    <row r="251" spans="2:6" s="2" customFormat="1" ht="15.75" hidden="1" outlineLevel="2" x14ac:dyDescent="0.2">
      <c r="B251" s="151" t="s">
        <v>1</v>
      </c>
      <c r="C251" s="182">
        <v>86.06</v>
      </c>
      <c r="D251" s="50" t="s">
        <v>107</v>
      </c>
    </row>
    <row r="252" spans="2:6" s="2" customFormat="1" ht="15.75" hidden="1" outlineLevel="2" x14ac:dyDescent="0.2">
      <c r="B252" s="151" t="s">
        <v>14</v>
      </c>
      <c r="C252" s="180">
        <v>70.099999999999994</v>
      </c>
      <c r="D252" s="50" t="s">
        <v>108</v>
      </c>
    </row>
    <row r="253" spans="2:6" s="2" customFormat="1" ht="15.75" hidden="1" outlineLevel="2" x14ac:dyDescent="0.2">
      <c r="B253" s="152" t="s">
        <v>147</v>
      </c>
      <c r="C253" s="180">
        <v>70.099999999999994</v>
      </c>
      <c r="D253" s="50" t="s">
        <v>108</v>
      </c>
    </row>
    <row r="254" spans="2:6" s="2" customFormat="1" ht="16.5" hidden="1" outlineLevel="2" thickBot="1" x14ac:dyDescent="0.25">
      <c r="B254" s="153" t="s">
        <v>2</v>
      </c>
      <c r="C254" s="183">
        <v>70.099999999999994</v>
      </c>
      <c r="D254" s="50" t="s">
        <v>108</v>
      </c>
    </row>
    <row r="255" spans="2:6" s="2" customFormat="1" ht="14.25" hidden="1" outlineLevel="2" x14ac:dyDescent="0.2"/>
    <row r="256" spans="2:6" s="2" customFormat="1" ht="15.75" hidden="1" outlineLevel="2" thickBot="1" x14ac:dyDescent="0.25">
      <c r="B256" s="25" t="s">
        <v>8</v>
      </c>
    </row>
    <row r="257" spans="2:6" s="2" customFormat="1" hidden="1" outlineLevel="2" thickBot="1" x14ac:dyDescent="0.25">
      <c r="B257" s="172"/>
      <c r="C257" s="173" t="s">
        <v>94</v>
      </c>
    </row>
    <row r="258" spans="2:6" s="2" customFormat="1" ht="14.25" hidden="1" outlineLevel="2" x14ac:dyDescent="0.2">
      <c r="B258" s="170" t="s">
        <v>86</v>
      </c>
      <c r="C258" s="171">
        <v>528</v>
      </c>
      <c r="D258" s="47" t="s">
        <v>81</v>
      </c>
    </row>
    <row r="259" spans="2:6" s="2" customFormat="1" ht="14.25" hidden="1" outlineLevel="2" x14ac:dyDescent="0.2">
      <c r="B259" s="110" t="s">
        <v>88</v>
      </c>
      <c r="C259" s="113">
        <v>250</v>
      </c>
      <c r="D259" s="47"/>
    </row>
    <row r="260" spans="2:6" s="2" customFormat="1" ht="14.25" hidden="1" outlineLevel="2" x14ac:dyDescent="0.2">
      <c r="B260" s="111" t="s">
        <v>159</v>
      </c>
      <c r="C260" s="113">
        <v>50</v>
      </c>
      <c r="D260" s="47"/>
    </row>
    <row r="261" spans="2:6" s="2" customFormat="1" ht="14.25" hidden="1" outlineLevel="2" x14ac:dyDescent="0.2">
      <c r="B261" s="110" t="s">
        <v>89</v>
      </c>
      <c r="C261" s="113">
        <v>77</v>
      </c>
      <c r="D261" s="56" t="s">
        <v>81</v>
      </c>
      <c r="E261" s="2" t="s">
        <v>83</v>
      </c>
    </row>
    <row r="262" spans="2:6" s="2" customFormat="1" ht="14.25" hidden="1" outlineLevel="2" x14ac:dyDescent="0.2">
      <c r="B262" s="110" t="s">
        <v>90</v>
      </c>
      <c r="C262" s="113">
        <v>0</v>
      </c>
      <c r="D262" s="56"/>
      <c r="E262" s="2" t="s">
        <v>83</v>
      </c>
      <c r="F262" s="48"/>
    </row>
    <row r="263" spans="2:6" s="2" customFormat="1" ht="14.25" hidden="1" outlineLevel="2" x14ac:dyDescent="0.2">
      <c r="B263" s="110" t="s">
        <v>226</v>
      </c>
      <c r="C263" s="113">
        <v>88</v>
      </c>
      <c r="D263" s="57" t="s">
        <v>82</v>
      </c>
      <c r="E263" s="2" t="s">
        <v>84</v>
      </c>
    </row>
    <row r="264" spans="2:6" s="2" customFormat="1" ht="19.5" hidden="1" outlineLevel="2" x14ac:dyDescent="0.25">
      <c r="B264" s="111" t="s">
        <v>232</v>
      </c>
      <c r="C264" s="114">
        <v>100</v>
      </c>
      <c r="D264" s="57"/>
      <c r="E264" s="48" t="s">
        <v>227</v>
      </c>
    </row>
    <row r="265" spans="2:6" s="2" customFormat="1" ht="14.25" hidden="1" outlineLevel="2" x14ac:dyDescent="0.2">
      <c r="B265" s="110" t="s">
        <v>92</v>
      </c>
      <c r="C265" s="113">
        <v>44</v>
      </c>
      <c r="D265" s="57"/>
      <c r="E265" s="2" t="s">
        <v>104</v>
      </c>
      <c r="F265" s="48"/>
    </row>
    <row r="266" spans="2:6" s="2" customFormat="1" ht="14.25" hidden="1" outlineLevel="2" x14ac:dyDescent="0.2">
      <c r="B266" s="110" t="s">
        <v>93</v>
      </c>
      <c r="C266" s="113">
        <v>80</v>
      </c>
      <c r="D266" s="57"/>
      <c r="E266" s="2" t="s">
        <v>103</v>
      </c>
      <c r="F266" s="48"/>
    </row>
    <row r="267" spans="2:6" s="2" customFormat="1" ht="14.25" hidden="1" outlineLevel="2" x14ac:dyDescent="0.2">
      <c r="B267" s="110" t="s">
        <v>100</v>
      </c>
      <c r="C267" s="113">
        <v>39</v>
      </c>
      <c r="D267" s="57"/>
      <c r="E267" s="2" t="s">
        <v>102</v>
      </c>
      <c r="F267" s="48"/>
    </row>
    <row r="268" spans="2:6" s="2" customFormat="1" ht="19.5" hidden="1" outlineLevel="2" x14ac:dyDescent="0.25">
      <c r="B268" s="111" t="s">
        <v>158</v>
      </c>
      <c r="C268" s="114">
        <v>50</v>
      </c>
      <c r="D268" s="94" t="s">
        <v>81</v>
      </c>
      <c r="E268" s="48" t="s">
        <v>150</v>
      </c>
      <c r="F268" s="48"/>
    </row>
    <row r="269" spans="2:6" s="2" customFormat="1" ht="19.5" hidden="1" outlineLevel="2" x14ac:dyDescent="0.25">
      <c r="B269" s="111" t="s">
        <v>157</v>
      </c>
      <c r="C269" s="114">
        <v>50</v>
      </c>
      <c r="D269" s="94" t="s">
        <v>81</v>
      </c>
      <c r="E269" s="48" t="s">
        <v>150</v>
      </c>
      <c r="F269" s="48"/>
    </row>
    <row r="270" spans="2:6" s="2" customFormat="1" ht="19.5" hidden="1" outlineLevel="2" x14ac:dyDescent="0.25">
      <c r="B270" s="111"/>
      <c r="C270" s="174"/>
      <c r="D270" s="94"/>
      <c r="E270" s="48"/>
      <c r="F270" s="48"/>
    </row>
    <row r="271" spans="2:6" s="2" customFormat="1" ht="19.5" hidden="1" outlineLevel="2" x14ac:dyDescent="0.25">
      <c r="B271" s="110" t="s">
        <v>260</v>
      </c>
      <c r="C271" s="114">
        <v>127</v>
      </c>
      <c r="D271" s="94"/>
      <c r="E271" s="48" t="s">
        <v>263</v>
      </c>
      <c r="F271" s="48"/>
    </row>
    <row r="272" spans="2:6" s="2" customFormat="1" ht="14.25" hidden="1" outlineLevel="2" x14ac:dyDescent="0.2">
      <c r="B272" s="110" t="s">
        <v>140</v>
      </c>
      <c r="C272" s="113">
        <v>770</v>
      </c>
      <c r="D272" s="57"/>
      <c r="E272" s="2" t="s">
        <v>262</v>
      </c>
      <c r="F272" s="48"/>
    </row>
    <row r="273" spans="2:5" s="2" customFormat="1" hidden="1" outlineLevel="2" thickBot="1" x14ac:dyDescent="0.25">
      <c r="B273" s="112" t="s">
        <v>142</v>
      </c>
      <c r="C273" s="115">
        <v>187</v>
      </c>
      <c r="D273" s="57"/>
      <c r="E273" s="2" t="s">
        <v>264</v>
      </c>
    </row>
    <row r="274" spans="2:5" s="2" customFormat="1" ht="14.25" hidden="1" outlineLevel="2" x14ac:dyDescent="0.2"/>
    <row r="275" spans="2:5" s="2" customFormat="1" ht="15.75" hidden="1" outlineLevel="2" thickBot="1" x14ac:dyDescent="0.25">
      <c r="B275" s="24" t="s">
        <v>47</v>
      </c>
    </row>
    <row r="276" spans="2:5" s="2" customFormat="1" hidden="1" outlineLevel="2" thickBot="1" x14ac:dyDescent="0.25">
      <c r="B276" s="168"/>
      <c r="C276" s="169" t="s">
        <v>49</v>
      </c>
    </row>
    <row r="277" spans="2:5" s="2" customFormat="1" ht="15.75" hidden="1" outlineLevel="2" x14ac:dyDescent="0.2">
      <c r="B277" s="150" t="s">
        <v>176</v>
      </c>
      <c r="C277" s="166">
        <v>540.52</v>
      </c>
    </row>
    <row r="278" spans="2:5" s="2" customFormat="1" ht="15.75" hidden="1" outlineLevel="2" x14ac:dyDescent="0.2">
      <c r="B278" s="151" t="s">
        <v>177</v>
      </c>
      <c r="C278" s="146">
        <v>465.86</v>
      </c>
    </row>
    <row r="279" spans="2:5" s="2" customFormat="1" ht="15.75" hidden="1" outlineLevel="2" x14ac:dyDescent="0.2">
      <c r="B279" s="151" t="s">
        <v>178</v>
      </c>
      <c r="C279" s="146">
        <v>472.37</v>
      </c>
    </row>
    <row r="280" spans="2:5" s="2" customFormat="1" ht="15.75" hidden="1" outlineLevel="2" x14ac:dyDescent="0.2">
      <c r="B280" s="151" t="s">
        <v>179</v>
      </c>
      <c r="C280" s="146">
        <v>467.02</v>
      </c>
    </row>
    <row r="281" spans="2:5" s="2" customFormat="1" ht="15.75" hidden="1" outlineLevel="2" x14ac:dyDescent="0.2">
      <c r="B281" s="152" t="s">
        <v>183</v>
      </c>
      <c r="C281" s="146">
        <v>568.80999999999995</v>
      </c>
    </row>
    <row r="282" spans="2:5" s="2" customFormat="1" ht="15.75" hidden="1" outlineLevel="2" x14ac:dyDescent="0.2">
      <c r="B282" s="152" t="s">
        <v>184</v>
      </c>
      <c r="C282" s="146">
        <v>550.71</v>
      </c>
    </row>
    <row r="283" spans="2:5" s="2" customFormat="1" ht="15.75" hidden="1" outlineLevel="2" x14ac:dyDescent="0.2">
      <c r="B283" s="151" t="s">
        <v>180</v>
      </c>
      <c r="C283" s="146">
        <v>467.02</v>
      </c>
    </row>
    <row r="284" spans="2:5" s="2" customFormat="1" ht="15.75" hidden="1" outlineLevel="2" x14ac:dyDescent="0.2">
      <c r="B284" s="151" t="s">
        <v>181</v>
      </c>
      <c r="C284" s="146">
        <v>467.02</v>
      </c>
    </row>
    <row r="285" spans="2:5" s="2" customFormat="1" ht="16.5" hidden="1" outlineLevel="2" thickBot="1" x14ac:dyDescent="0.25">
      <c r="B285" s="153" t="s">
        <v>182</v>
      </c>
      <c r="C285" s="149">
        <v>488.58</v>
      </c>
    </row>
    <row r="286" spans="2:5" s="2" customFormat="1" ht="15.75" hidden="1" outlineLevel="2" x14ac:dyDescent="0.2">
      <c r="B286" s="150" t="s">
        <v>185</v>
      </c>
      <c r="C286" s="166">
        <v>631.04</v>
      </c>
    </row>
    <row r="287" spans="2:5" s="2" customFormat="1" ht="15.75" hidden="1" outlineLevel="2" x14ac:dyDescent="0.2">
      <c r="B287" s="151" t="s">
        <v>186</v>
      </c>
      <c r="C287" s="146">
        <v>560.91</v>
      </c>
    </row>
    <row r="288" spans="2:5" s="2" customFormat="1" ht="16.5" hidden="1" outlineLevel="2" thickBot="1" x14ac:dyDescent="0.25">
      <c r="B288" s="153" t="s">
        <v>187</v>
      </c>
      <c r="C288" s="149">
        <v>545.24</v>
      </c>
    </row>
    <row r="289" spans="2:3" s="2" customFormat="1" ht="15.75" hidden="1" outlineLevel="2" x14ac:dyDescent="0.2">
      <c r="B289" s="150" t="s">
        <v>188</v>
      </c>
      <c r="C289" s="166">
        <v>352.59</v>
      </c>
    </row>
    <row r="290" spans="2:3" s="2" customFormat="1" ht="15.75" hidden="1" outlineLevel="2" x14ac:dyDescent="0.2">
      <c r="B290" s="151" t="s">
        <v>189</v>
      </c>
      <c r="C290" s="146">
        <v>292.52999999999997</v>
      </c>
    </row>
    <row r="291" spans="2:3" s="2" customFormat="1" ht="15.75" hidden="1" outlineLevel="2" x14ac:dyDescent="0.2">
      <c r="B291" s="151" t="s">
        <v>190</v>
      </c>
      <c r="C291" s="146">
        <v>296.45999999999998</v>
      </c>
    </row>
    <row r="292" spans="2:3" s="2" customFormat="1" ht="15.75" hidden="1" outlineLevel="2" x14ac:dyDescent="0.2">
      <c r="B292" s="151" t="s">
        <v>191</v>
      </c>
      <c r="C292" s="146">
        <v>293.33</v>
      </c>
    </row>
    <row r="293" spans="2:3" s="2" customFormat="1" ht="15.75" hidden="1" outlineLevel="2" x14ac:dyDescent="0.2">
      <c r="B293" s="152" t="s">
        <v>194</v>
      </c>
      <c r="C293" s="146">
        <v>359.13</v>
      </c>
    </row>
    <row r="294" spans="2:3" s="2" customFormat="1" ht="15.75" hidden="1" outlineLevel="2" x14ac:dyDescent="0.2">
      <c r="B294" s="152" t="s">
        <v>195</v>
      </c>
      <c r="C294" s="146">
        <v>344.15</v>
      </c>
    </row>
    <row r="295" spans="2:3" s="2" customFormat="1" ht="15.75" hidden="1" outlineLevel="2" x14ac:dyDescent="0.2">
      <c r="B295" s="151" t="s">
        <v>192</v>
      </c>
      <c r="C295" s="146">
        <v>293.33</v>
      </c>
    </row>
    <row r="296" spans="2:3" s="2" customFormat="1" ht="15.75" hidden="1" outlineLevel="2" x14ac:dyDescent="0.2">
      <c r="B296" s="151" t="s">
        <v>193</v>
      </c>
      <c r="C296" s="146">
        <v>293.33</v>
      </c>
    </row>
    <row r="297" spans="2:3" s="2" customFormat="1" ht="16.5" hidden="1" outlineLevel="2" thickBot="1" x14ac:dyDescent="0.25">
      <c r="B297" s="153" t="s">
        <v>196</v>
      </c>
      <c r="C297" s="149">
        <v>306.32</v>
      </c>
    </row>
    <row r="298" spans="2:3" s="2" customFormat="1" ht="15.75" hidden="1" outlineLevel="2" x14ac:dyDescent="0.2">
      <c r="B298" s="154" t="s">
        <v>197</v>
      </c>
      <c r="C298" s="166">
        <v>889.09</v>
      </c>
    </row>
    <row r="299" spans="2:3" s="2" customFormat="1" ht="15.75" hidden="1" outlineLevel="2" x14ac:dyDescent="0.2">
      <c r="B299" s="152" t="s">
        <v>281</v>
      </c>
      <c r="C299" s="146">
        <v>889</v>
      </c>
    </row>
    <row r="300" spans="2:3" s="2" customFormat="1" ht="16.5" hidden="1" outlineLevel="2" thickBot="1" x14ac:dyDescent="0.25">
      <c r="B300" s="155" t="s">
        <v>198</v>
      </c>
      <c r="C300" s="149">
        <v>792.87</v>
      </c>
    </row>
    <row r="301" spans="2:3" s="2" customFormat="1" ht="15.75" hidden="1" outlineLevel="2" x14ac:dyDescent="0.2">
      <c r="B301" s="154" t="s">
        <v>199</v>
      </c>
      <c r="C301" s="166">
        <v>1135</v>
      </c>
    </row>
    <row r="302" spans="2:3" s="2" customFormat="1" ht="15.75" hidden="1" outlineLevel="2" x14ac:dyDescent="0.2">
      <c r="B302" s="152" t="s">
        <v>282</v>
      </c>
      <c r="C302" s="146">
        <v>1135</v>
      </c>
    </row>
    <row r="303" spans="2:3" s="2" customFormat="1" ht="16.5" hidden="1" outlineLevel="2" thickBot="1" x14ac:dyDescent="0.25">
      <c r="B303" s="155" t="s">
        <v>200</v>
      </c>
      <c r="C303" s="149">
        <v>1135</v>
      </c>
    </row>
    <row r="304" spans="2:3" s="2" customFormat="1" ht="15.75" hidden="1" outlineLevel="2" x14ac:dyDescent="0.2">
      <c r="B304" s="154" t="s">
        <v>201</v>
      </c>
      <c r="C304" s="166">
        <v>1135</v>
      </c>
    </row>
    <row r="305" spans="2:4" s="2" customFormat="1" ht="15.75" hidden="1" outlineLevel="2" x14ac:dyDescent="0.2">
      <c r="B305" s="152" t="s">
        <v>283</v>
      </c>
      <c r="C305" s="146">
        <v>1135</v>
      </c>
    </row>
    <row r="306" spans="2:4" s="2" customFormat="1" ht="16.5" hidden="1" outlineLevel="2" thickBot="1" x14ac:dyDescent="0.25">
      <c r="B306" s="155" t="s">
        <v>223</v>
      </c>
      <c r="C306" s="149">
        <v>1135</v>
      </c>
    </row>
    <row r="307" spans="2:4" s="2" customFormat="1" ht="15.75" hidden="1" outlineLevel="2" x14ac:dyDescent="0.2">
      <c r="B307" s="154" t="s">
        <v>203</v>
      </c>
      <c r="C307" s="166">
        <v>1135</v>
      </c>
    </row>
    <row r="308" spans="2:4" s="2" customFormat="1" ht="15.75" hidden="1" outlineLevel="2" x14ac:dyDescent="0.2">
      <c r="B308" s="152" t="s">
        <v>284</v>
      </c>
      <c r="C308" s="146">
        <v>1135</v>
      </c>
    </row>
    <row r="309" spans="2:4" s="2" customFormat="1" ht="16.5" hidden="1" outlineLevel="2" thickBot="1" x14ac:dyDescent="0.25">
      <c r="B309" s="156" t="s">
        <v>224</v>
      </c>
      <c r="C309" s="167">
        <v>1135</v>
      </c>
    </row>
    <row r="310" spans="2:4" s="2" customFormat="1" ht="15.75" hidden="1" outlineLevel="2" x14ac:dyDescent="0.2">
      <c r="B310" s="154" t="s">
        <v>206</v>
      </c>
      <c r="C310" s="166">
        <v>710.88</v>
      </c>
    </row>
    <row r="311" spans="2:4" s="2" customFormat="1" ht="15.75" hidden="1" outlineLevel="2" x14ac:dyDescent="0.2">
      <c r="B311" s="152" t="s">
        <v>221</v>
      </c>
      <c r="C311" s="146">
        <v>741.89</v>
      </c>
    </row>
    <row r="312" spans="2:4" s="2" customFormat="1" ht="16.5" hidden="1" outlineLevel="2" thickBot="1" x14ac:dyDescent="0.25">
      <c r="B312" s="155" t="s">
        <v>205</v>
      </c>
      <c r="C312" s="149">
        <v>741.89</v>
      </c>
    </row>
    <row r="313" spans="2:4" s="2" customFormat="1" ht="15.75" hidden="1" outlineLevel="2" x14ac:dyDescent="0.2">
      <c r="B313" s="154" t="s">
        <v>208</v>
      </c>
      <c r="C313" s="166">
        <v>594.29999999999995</v>
      </c>
    </row>
    <row r="314" spans="2:4" s="2" customFormat="1" ht="15.75" hidden="1" outlineLevel="2" x14ac:dyDescent="0.2">
      <c r="B314" s="152" t="s">
        <v>222</v>
      </c>
      <c r="C314" s="146">
        <v>620.22</v>
      </c>
    </row>
    <row r="315" spans="2:4" s="2" customFormat="1" ht="16.5" hidden="1" outlineLevel="2" thickBot="1" x14ac:dyDescent="0.25">
      <c r="B315" s="155" t="s">
        <v>207</v>
      </c>
      <c r="C315" s="149">
        <v>620.22</v>
      </c>
    </row>
    <row r="316" spans="2:4" s="2" customFormat="1" ht="15.75" hidden="1" outlineLevel="2" x14ac:dyDescent="0.2">
      <c r="B316" s="157" t="s">
        <v>210</v>
      </c>
      <c r="C316" s="148">
        <v>745</v>
      </c>
      <c r="D316" s="2">
        <v>795</v>
      </c>
    </row>
    <row r="317" spans="2:4" s="2" customFormat="1" ht="15.75" hidden="1" outlineLevel="2" x14ac:dyDescent="0.2">
      <c r="B317" s="157" t="s">
        <v>295</v>
      </c>
      <c r="C317" s="148">
        <v>745</v>
      </c>
    </row>
    <row r="318" spans="2:4" s="2" customFormat="1" ht="16.5" hidden="1" outlineLevel="2" thickBot="1" x14ac:dyDescent="0.25">
      <c r="B318" s="158" t="s">
        <v>209</v>
      </c>
      <c r="C318" s="147">
        <v>745</v>
      </c>
    </row>
    <row r="319" spans="2:4" s="2" customFormat="1" ht="15.75" hidden="1" outlineLevel="2" x14ac:dyDescent="0.2">
      <c r="B319" s="150" t="s">
        <v>211</v>
      </c>
      <c r="C319" s="166">
        <v>340.55</v>
      </c>
    </row>
    <row r="320" spans="2:4" s="2" customFormat="1" ht="15.75" hidden="1" outlineLevel="2" x14ac:dyDescent="0.2">
      <c r="B320" s="151" t="s">
        <v>212</v>
      </c>
      <c r="C320" s="146">
        <v>294.87</v>
      </c>
    </row>
    <row r="321" spans="2:3" s="2" customFormat="1" ht="15.75" hidden="1" outlineLevel="2" x14ac:dyDescent="0.2">
      <c r="B321" s="151" t="s">
        <v>213</v>
      </c>
      <c r="C321" s="146">
        <v>295.68</v>
      </c>
    </row>
    <row r="322" spans="2:3" s="2" customFormat="1" ht="15.75" hidden="1" outlineLevel="2" x14ac:dyDescent="0.2">
      <c r="B322" s="151" t="s">
        <v>214</v>
      </c>
      <c r="C322" s="146">
        <v>295.68</v>
      </c>
    </row>
    <row r="323" spans="2:3" s="2" customFormat="1" ht="15.75" hidden="1" outlineLevel="2" x14ac:dyDescent="0.2">
      <c r="B323" s="156" t="s">
        <v>225</v>
      </c>
      <c r="C323" s="167">
        <v>356.23</v>
      </c>
    </row>
    <row r="324" spans="2:3" s="2" customFormat="1" ht="15.75" hidden="1" outlineLevel="2" x14ac:dyDescent="0.2">
      <c r="B324" s="156" t="s">
        <v>217</v>
      </c>
      <c r="C324" s="167">
        <v>341.39</v>
      </c>
    </row>
    <row r="325" spans="2:3" s="2" customFormat="1" ht="16.5" hidden="1" outlineLevel="2" thickBot="1" x14ac:dyDescent="0.25">
      <c r="B325" s="153" t="s">
        <v>215</v>
      </c>
      <c r="C325" s="149">
        <v>308.79000000000002</v>
      </c>
    </row>
    <row r="326" spans="2:3" s="2" customFormat="1" ht="15.75" hidden="1" outlineLevel="2" x14ac:dyDescent="0.2">
      <c r="B326" s="159" t="s">
        <v>233</v>
      </c>
      <c r="C326" s="145">
        <v>392.34</v>
      </c>
    </row>
    <row r="327" spans="2:3" s="2" customFormat="1" ht="15.75" hidden="1" outlineLevel="2" x14ac:dyDescent="0.2">
      <c r="B327" s="152" t="s">
        <v>234</v>
      </c>
      <c r="C327" s="146">
        <v>392</v>
      </c>
    </row>
    <row r="328" spans="2:3" s="2" customFormat="1" ht="15.75" hidden="1" outlineLevel="2" x14ac:dyDescent="0.2">
      <c r="B328" s="152" t="s">
        <v>235</v>
      </c>
      <c r="C328" s="146">
        <v>376.41</v>
      </c>
    </row>
    <row r="329" spans="2:3" s="2" customFormat="1" ht="15.75" hidden="1" outlineLevel="2" x14ac:dyDescent="0.2">
      <c r="B329" s="152" t="s">
        <v>285</v>
      </c>
      <c r="C329" s="146">
        <v>392.34</v>
      </c>
    </row>
    <row r="330" spans="2:3" s="2" customFormat="1" ht="15.75" hidden="1" outlineLevel="2" x14ac:dyDescent="0.2">
      <c r="B330" s="152" t="s">
        <v>286</v>
      </c>
      <c r="C330" s="146">
        <v>377.71</v>
      </c>
    </row>
    <row r="331" spans="2:3" s="2" customFormat="1" ht="15.75" hidden="1" outlineLevel="2" x14ac:dyDescent="0.2">
      <c r="B331" s="152" t="s">
        <v>287</v>
      </c>
      <c r="C331" s="146">
        <v>377.71</v>
      </c>
    </row>
    <row r="332" spans="2:3" s="2" customFormat="1" ht="16.5" hidden="1" outlineLevel="2" thickBot="1" x14ac:dyDescent="0.25">
      <c r="B332" s="155" t="s">
        <v>288</v>
      </c>
      <c r="C332" s="149">
        <v>428.72</v>
      </c>
    </row>
    <row r="333" spans="2:3" s="2" customFormat="1" ht="15.75" hidden="1" outlineLevel="2" x14ac:dyDescent="0.2">
      <c r="B333" s="157" t="s">
        <v>236</v>
      </c>
      <c r="C333" s="148">
        <v>326.26</v>
      </c>
    </row>
    <row r="334" spans="2:3" s="2" customFormat="1" ht="15.75" hidden="1" outlineLevel="2" x14ac:dyDescent="0.2">
      <c r="B334" s="152" t="s">
        <v>237</v>
      </c>
      <c r="C334" s="146">
        <v>326.26</v>
      </c>
    </row>
    <row r="335" spans="2:3" s="2" customFormat="1" ht="15.75" hidden="1" outlineLevel="2" x14ac:dyDescent="0.2">
      <c r="B335" s="152" t="s">
        <v>238</v>
      </c>
      <c r="C335" s="146">
        <v>313.02999999999997</v>
      </c>
    </row>
    <row r="336" spans="2:3" s="2" customFormat="1" ht="15.75" hidden="1" outlineLevel="2" x14ac:dyDescent="0.2">
      <c r="B336" s="152" t="s">
        <v>289</v>
      </c>
      <c r="C336" s="146">
        <v>326.26</v>
      </c>
    </row>
    <row r="337" spans="2:4" s="2" customFormat="1" ht="15.75" hidden="1" outlineLevel="2" x14ac:dyDescent="0.2">
      <c r="B337" s="152" t="s">
        <v>290</v>
      </c>
      <c r="C337" s="146">
        <v>314.08999999999997</v>
      </c>
    </row>
    <row r="338" spans="2:4" s="2" customFormat="1" ht="15.75" hidden="1" outlineLevel="2" x14ac:dyDescent="0.2">
      <c r="B338" s="152" t="s">
        <v>291</v>
      </c>
      <c r="C338" s="146">
        <v>314.08999999999997</v>
      </c>
    </row>
    <row r="339" spans="2:4" s="2" customFormat="1" ht="16.5" hidden="1" outlineLevel="2" thickBot="1" x14ac:dyDescent="0.25">
      <c r="B339" s="158" t="s">
        <v>292</v>
      </c>
      <c r="C339" s="147">
        <v>356.51</v>
      </c>
    </row>
    <row r="340" spans="2:4" s="2" customFormat="1" ht="15.75" hidden="1" outlineLevel="2" x14ac:dyDescent="0.2">
      <c r="B340" s="160" t="s">
        <v>218</v>
      </c>
      <c r="C340" s="166">
        <v>842.88</v>
      </c>
    </row>
    <row r="341" spans="2:4" s="2" customFormat="1" ht="15.75" hidden="1" outlineLevel="2" x14ac:dyDescent="0.2">
      <c r="B341" s="161" t="s">
        <v>219</v>
      </c>
      <c r="C341" s="146">
        <v>729.49</v>
      </c>
    </row>
    <row r="342" spans="2:4" s="2" customFormat="1" ht="16.5" hidden="1" outlineLevel="2" thickBot="1" x14ac:dyDescent="0.25">
      <c r="B342" s="162" t="s">
        <v>220</v>
      </c>
      <c r="C342" s="149">
        <v>763.98</v>
      </c>
    </row>
    <row r="343" spans="2:4" s="2" customFormat="1" ht="15.75" hidden="1" outlineLevel="2" x14ac:dyDescent="0.2">
      <c r="B343" s="163" t="s">
        <v>270</v>
      </c>
      <c r="C343" s="166">
        <v>638.26</v>
      </c>
    </row>
    <row r="344" spans="2:4" s="2" customFormat="1" ht="15.75" hidden="1" outlineLevel="2" x14ac:dyDescent="0.2">
      <c r="B344" s="164" t="s">
        <v>271</v>
      </c>
      <c r="C344" s="146">
        <v>698.52</v>
      </c>
    </row>
    <row r="345" spans="2:4" s="2" customFormat="1" ht="15.75" hidden="1" outlineLevel="2" x14ac:dyDescent="0.2">
      <c r="B345" s="164" t="s">
        <v>272</v>
      </c>
      <c r="C345" s="146">
        <v>764.93</v>
      </c>
    </row>
    <row r="346" spans="2:4" s="2" customFormat="1" ht="15.75" hidden="1" outlineLevel="2" x14ac:dyDescent="0.2">
      <c r="B346" s="164" t="s">
        <v>273</v>
      </c>
      <c r="C346" s="146">
        <v>673</v>
      </c>
    </row>
    <row r="347" spans="2:4" s="2" customFormat="1" ht="15.75" hidden="1" outlineLevel="2" x14ac:dyDescent="0.2">
      <c r="B347" s="164" t="s">
        <v>274</v>
      </c>
      <c r="C347" s="146">
        <v>545.02</v>
      </c>
    </row>
    <row r="348" spans="2:4" s="2" customFormat="1" ht="15.75" hidden="1" outlineLevel="2" x14ac:dyDescent="0.2">
      <c r="B348" s="164" t="s">
        <v>275</v>
      </c>
      <c r="C348" s="146">
        <v>598.23</v>
      </c>
      <c r="D348" s="48"/>
    </row>
    <row r="349" spans="2:4" s="2" customFormat="1" ht="15.75" hidden="1" outlineLevel="2" x14ac:dyDescent="0.2">
      <c r="B349" s="164" t="s">
        <v>276</v>
      </c>
      <c r="C349" s="146">
        <v>651.46</v>
      </c>
    </row>
    <row r="350" spans="2:4" s="2" customFormat="1" ht="15.75" hidden="1" outlineLevel="2" x14ac:dyDescent="0.2">
      <c r="B350" s="164" t="s">
        <v>277</v>
      </c>
      <c r="C350" s="146">
        <v>625.09</v>
      </c>
    </row>
    <row r="351" spans="2:4" s="2" customFormat="1" ht="15.75" hidden="1" outlineLevel="2" x14ac:dyDescent="0.2">
      <c r="B351" s="164" t="s">
        <v>278</v>
      </c>
      <c r="C351" s="146">
        <v>691.5</v>
      </c>
    </row>
    <row r="352" spans="2:4" s="2" customFormat="1" ht="15.75" hidden="1" outlineLevel="2" x14ac:dyDescent="0.2">
      <c r="B352" s="164" t="s">
        <v>279</v>
      </c>
      <c r="C352" s="146">
        <v>751.76</v>
      </c>
    </row>
    <row r="353" spans="2:3" s="2" customFormat="1" ht="16.5" hidden="1" outlineLevel="2" thickBot="1" x14ac:dyDescent="0.25">
      <c r="B353" s="165" t="s">
        <v>280</v>
      </c>
      <c r="C353" s="149">
        <v>663</v>
      </c>
    </row>
    <row r="354" spans="2:3" s="2" customFormat="1" ht="14.25" hidden="1" outlineLevel="2" x14ac:dyDescent="0.2"/>
    <row r="355" spans="2:3" s="2" customFormat="1" ht="14.25" hidden="1" outlineLevel="2" x14ac:dyDescent="0.2"/>
    <row r="356" spans="2:3" s="2" customFormat="1" ht="14.25" hidden="1" outlineLevel="2" x14ac:dyDescent="0.2"/>
    <row r="357" spans="2:3" s="2" customFormat="1" ht="14.25" hidden="1" outlineLevel="2" x14ac:dyDescent="0.2"/>
    <row r="358" spans="2:3" s="2" customFormat="1" ht="14.25" hidden="1" outlineLevel="2" x14ac:dyDescent="0.2"/>
    <row r="359" spans="2:3" s="2" customFormat="1" ht="14.25" hidden="1" outlineLevel="2" x14ac:dyDescent="0.2"/>
    <row r="360" spans="2:3" s="2" customFormat="1" ht="14.25" hidden="1" outlineLevel="2" x14ac:dyDescent="0.2"/>
    <row r="361" spans="2:3" s="2" customFormat="1" ht="14.25" hidden="1" outlineLevel="2" x14ac:dyDescent="0.2"/>
    <row r="362" spans="2:3" s="2" customFormat="1" ht="14.25" hidden="1" outlineLevel="2" x14ac:dyDescent="0.2"/>
    <row r="363" spans="2:3" s="2" customFormat="1" ht="14.25" hidden="1" outlineLevel="2" x14ac:dyDescent="0.2"/>
    <row r="364" spans="2:3" s="2" customFormat="1" ht="14.25" hidden="1" outlineLevel="2" x14ac:dyDescent="0.2"/>
    <row r="365" spans="2:3" s="2" customFormat="1" ht="14.25" hidden="1" outlineLevel="2" x14ac:dyDescent="0.2"/>
    <row r="366" spans="2:3" s="2" customFormat="1" ht="14.25" hidden="1" outlineLevel="2" x14ac:dyDescent="0.2"/>
    <row r="367" spans="2:3" s="2" customFormat="1" ht="14.25" hidden="1" outlineLevel="2" x14ac:dyDescent="0.2"/>
    <row r="368" spans="2:3" s="2" customFormat="1" ht="14.25" hidden="1" outlineLevel="2" x14ac:dyDescent="0.2"/>
    <row r="369" s="2" customFormat="1" ht="14.25" hidden="1" outlineLevel="2" x14ac:dyDescent="0.2"/>
    <row r="370" s="2" customFormat="1" ht="14.25" hidden="1" outlineLevel="2" x14ac:dyDescent="0.2"/>
    <row r="371" s="2" customFormat="1" ht="14.25" hidden="1" outlineLevel="2" x14ac:dyDescent="0.2"/>
    <row r="372" s="2" customFormat="1" ht="14.25" hidden="1" outlineLevel="2" x14ac:dyDescent="0.2"/>
    <row r="373" s="2" customFormat="1" ht="14.25" hidden="1" outlineLevel="2" x14ac:dyDescent="0.2"/>
    <row r="374" s="2" customFormat="1" ht="14.25" hidden="1" outlineLevel="2" x14ac:dyDescent="0.2"/>
    <row r="375" s="2" customFormat="1" ht="14.25" hidden="1" outlineLevel="2" x14ac:dyDescent="0.2"/>
    <row r="376" s="2" customFormat="1" ht="14.25" hidden="1" outlineLevel="2" x14ac:dyDescent="0.2"/>
    <row r="377" s="2" customFormat="1" ht="14.25" hidden="1" outlineLevel="2" x14ac:dyDescent="0.2"/>
    <row r="378" s="2" customFormat="1" ht="14.25" hidden="1" outlineLevel="2" x14ac:dyDescent="0.2"/>
    <row r="379" s="2" customFormat="1" ht="14.25" hidden="1" outlineLevel="2" x14ac:dyDescent="0.2"/>
    <row r="380" s="2" customFormat="1" ht="14.25" hidden="1" outlineLevel="2" x14ac:dyDescent="0.2"/>
    <row r="381" s="2" customFormat="1" ht="14.25" hidden="1" outlineLevel="2" x14ac:dyDescent="0.2"/>
    <row r="382" s="2" customFormat="1" ht="14.25" hidden="1" outlineLevel="2" x14ac:dyDescent="0.2"/>
    <row r="383" s="2" customFormat="1" ht="14.25" hidden="1" outlineLevel="2" x14ac:dyDescent="0.2"/>
    <row r="384" s="2" customFormat="1" ht="14.25" hidden="1" outlineLevel="2" x14ac:dyDescent="0.2"/>
    <row r="385" s="2" customFormat="1" ht="14.25" hidden="1" outlineLevel="2" x14ac:dyDescent="0.2"/>
    <row r="386" s="2" customFormat="1" ht="14.25" hidden="1" outlineLevel="2" x14ac:dyDescent="0.2"/>
    <row r="387" s="2" customFormat="1" ht="14.25" hidden="1" outlineLevel="2" x14ac:dyDescent="0.2"/>
    <row r="388" s="2" customFormat="1" ht="14.25" hidden="1" outlineLevel="2" x14ac:dyDescent="0.2"/>
    <row r="389" s="2" customFormat="1" ht="14.25" hidden="1" outlineLevel="2" x14ac:dyDescent="0.2"/>
    <row r="390" s="2" customFormat="1" ht="14.25" hidden="1" outlineLevel="2" x14ac:dyDescent="0.2"/>
    <row r="391" s="2" customFormat="1" ht="14.25" hidden="1" outlineLevel="2" x14ac:dyDescent="0.2"/>
    <row r="392" s="2" customFormat="1" ht="14.25" hidden="1" outlineLevel="2" x14ac:dyDescent="0.2"/>
    <row r="393" s="2" customFormat="1" ht="14.25" hidden="1" outlineLevel="2" x14ac:dyDescent="0.2"/>
    <row r="394" s="2" customFormat="1" ht="14.25" hidden="1" outlineLevel="2" x14ac:dyDescent="0.2"/>
    <row r="395" s="2" customFormat="1" ht="14.25" hidden="1" outlineLevel="2" x14ac:dyDescent="0.2"/>
    <row r="396" s="2" customFormat="1" ht="14.25" hidden="1" outlineLevel="2" x14ac:dyDescent="0.2"/>
    <row r="397" s="2" customFormat="1" ht="14.25" hidden="1" outlineLevel="2" x14ac:dyDescent="0.2"/>
    <row r="398" s="2" customFormat="1" ht="14.25" hidden="1" outlineLevel="2" x14ac:dyDescent="0.2"/>
    <row r="399" s="2" customFormat="1" ht="14.25" hidden="1" outlineLevel="2" x14ac:dyDescent="0.2"/>
    <row r="400" s="2" customFormat="1" ht="14.25" hidden="1" outlineLevel="2" x14ac:dyDescent="0.2"/>
    <row r="401" s="2" customFormat="1" ht="14.25" hidden="1" outlineLevel="2" x14ac:dyDescent="0.2"/>
    <row r="402" s="2" customFormat="1" ht="14.25" hidden="1" outlineLevel="2" x14ac:dyDescent="0.2"/>
    <row r="403" s="2" customFormat="1" ht="14.25" hidden="1" outlineLevel="2" x14ac:dyDescent="0.2"/>
    <row r="404" s="2" customFormat="1" ht="14.25" hidden="1" outlineLevel="2" x14ac:dyDescent="0.2"/>
    <row r="405" s="2" customFormat="1" ht="14.25" hidden="1" outlineLevel="2" x14ac:dyDescent="0.2"/>
    <row r="406" s="2" customFormat="1" ht="14.25" hidden="1" outlineLevel="2" x14ac:dyDescent="0.2"/>
    <row r="407" s="2" customFormat="1" ht="14.25" hidden="1" outlineLevel="2" x14ac:dyDescent="0.2"/>
    <row r="408" s="2" customFormat="1" ht="14.25" hidden="1" outlineLevel="2" x14ac:dyDescent="0.2"/>
    <row r="409" s="2" customFormat="1" ht="14.25" hidden="1" outlineLevel="2" x14ac:dyDescent="0.2"/>
    <row r="410" s="2" customFormat="1" ht="14.25" hidden="1" outlineLevel="2" x14ac:dyDescent="0.2"/>
    <row r="411" s="2" customFormat="1" ht="14.25" hidden="1" outlineLevel="2" x14ac:dyDescent="0.2"/>
    <row r="412" s="2" customFormat="1" ht="14.25" hidden="1" outlineLevel="2" x14ac:dyDescent="0.2"/>
    <row r="413" s="2" customFormat="1" ht="14.25" hidden="1" outlineLevel="2" x14ac:dyDescent="0.2"/>
    <row r="414" s="2" customFormat="1" ht="14.25" hidden="1" outlineLevel="2" x14ac:dyDescent="0.2"/>
    <row r="415" s="2" customFormat="1" ht="14.25" hidden="1" outlineLevel="2" x14ac:dyDescent="0.2"/>
    <row r="416" s="2" customFormat="1" ht="14.25" hidden="1" outlineLevel="2" x14ac:dyDescent="0.2"/>
    <row r="417" s="2" customFormat="1" ht="14.25" hidden="1" outlineLevel="2" x14ac:dyDescent="0.2"/>
    <row r="418" s="2" customFormat="1" ht="14.25" hidden="1" outlineLevel="2" x14ac:dyDescent="0.2"/>
    <row r="419" s="2" customFormat="1" ht="14.25" hidden="1" outlineLevel="2" x14ac:dyDescent="0.2"/>
    <row r="420" s="2" customFormat="1" ht="14.25" hidden="1" outlineLevel="2" x14ac:dyDescent="0.2"/>
    <row r="421" s="2" customFormat="1" ht="14.25" hidden="1" outlineLevel="2" x14ac:dyDescent="0.2"/>
    <row r="422" s="2" customFormat="1" ht="14.25" hidden="1" outlineLevel="2" x14ac:dyDescent="0.2"/>
    <row r="423" s="2" customFormat="1" ht="14.25" hidden="1" outlineLevel="2" x14ac:dyDescent="0.2"/>
    <row r="424" s="2" customFormat="1" ht="14.25" hidden="1" outlineLevel="2" x14ac:dyDescent="0.2"/>
    <row r="425" s="2" customFormat="1" ht="14.25" hidden="1" outlineLevel="2" x14ac:dyDescent="0.2"/>
    <row r="426" s="2" customFormat="1" ht="14.25" hidden="1" outlineLevel="2" x14ac:dyDescent="0.2"/>
    <row r="427" s="2" customFormat="1" ht="14.25" hidden="1" outlineLevel="2" x14ac:dyDescent="0.2"/>
    <row r="428" s="2" customFormat="1" ht="14.25" hidden="1" outlineLevel="2" x14ac:dyDescent="0.2"/>
    <row r="429" s="2" customFormat="1" ht="14.25" hidden="1" outlineLevel="2" x14ac:dyDescent="0.2"/>
    <row r="430" s="2" customFormat="1" ht="14.25" hidden="1" outlineLevel="2" x14ac:dyDescent="0.2"/>
    <row r="431" s="2" customFormat="1" ht="14.25" hidden="1" outlineLevel="2" x14ac:dyDescent="0.2"/>
    <row r="432" s="2" customFormat="1" ht="14.25" hidden="1" outlineLevel="2" x14ac:dyDescent="0.2"/>
    <row r="433" s="2" customFormat="1" ht="14.25" hidden="1" outlineLevel="2" x14ac:dyDescent="0.2"/>
    <row r="434" s="2" customFormat="1" ht="14.25" hidden="1" outlineLevel="2" x14ac:dyDescent="0.2"/>
    <row r="435" s="2" customFormat="1" ht="14.25" hidden="1" outlineLevel="2" x14ac:dyDescent="0.2"/>
    <row r="436" s="2" customFormat="1" ht="14.25" hidden="1" outlineLevel="2" x14ac:dyDescent="0.2"/>
    <row r="437" s="2" customFormat="1" ht="14.25" hidden="1" outlineLevel="2" x14ac:dyDescent="0.2"/>
    <row r="438" s="2" customFormat="1" ht="14.25" hidden="1" outlineLevel="2" x14ac:dyDescent="0.2"/>
    <row r="439" s="2" customFormat="1" ht="14.25" hidden="1" outlineLevel="2" x14ac:dyDescent="0.2"/>
    <row r="440" s="2" customFormat="1" ht="14.25" hidden="1" outlineLevel="2" x14ac:dyDescent="0.2"/>
    <row r="441" s="2" customFormat="1" ht="14.25" hidden="1" outlineLevel="2" x14ac:dyDescent="0.2"/>
    <row r="442" s="2" customFormat="1" ht="14.25" hidden="1" outlineLevel="2" x14ac:dyDescent="0.2"/>
    <row r="443" s="2" customFormat="1" ht="14.25" hidden="1" outlineLevel="2" x14ac:dyDescent="0.2"/>
    <row r="444" s="2" customFormat="1" ht="14.25" hidden="1" outlineLevel="2" x14ac:dyDescent="0.2"/>
    <row r="445" s="2" customFormat="1" ht="14.25" hidden="1" outlineLevel="2" x14ac:dyDescent="0.2"/>
    <row r="446" s="2" customFormat="1" ht="14.25" hidden="1" outlineLevel="1" x14ac:dyDescent="0.2"/>
    <row r="447" s="2" customFormat="1" ht="14.25" x14ac:dyDescent="0.2"/>
  </sheetData>
  <sheetProtection password="CCFF" sheet="1" objects="1" scenarios="1"/>
  <protectedRanges>
    <protectedRange sqref="C2 C6:C7 I33:I34 C11:H32 C9:E9 H9" name="Диапазон1"/>
  </protectedRanges>
  <mergeCells count="1">
    <mergeCell ref="C6:D6"/>
  </mergeCells>
  <dataValidations count="16">
    <dataValidation type="custom" allowBlank="1" showInputMessage="1" showErrorMessage="1" error="Сначала введите размеры профиля" sqref="C29:H29">
      <formula1>(C12+C13+C14)&lt;=0</formula1>
    </dataValidation>
    <dataValidation type="custom" allowBlank="1" showInputMessage="1" showErrorMessage="1" errorTitle="Ошибка !!!" error="Ширина В для профиля Z-A указывается в строке ниже !!!" sqref="C13:H13">
      <formula1>C9&lt;&gt;"Z-A"</formula1>
    </dataValidation>
    <dataValidation type="list" showInputMessage="1" showErrorMessage="1" sqref="K20">
      <formula1>$B$91:$B$92</formula1>
    </dataValidation>
    <dataValidation type="list" showInputMessage="1" showErrorMessage="1" prompt="F1-99_x000a_F1-93_x000a_F1-93 NEW_x000a_F1-33_x000a_F1-33-S_x000a_Z-A" sqref="C9:D9">
      <formula1>$B$91:$B$96</formula1>
    </dataValidation>
    <dataValidation type="custom" allowBlank="1" showInputMessage="1" showErrorMessage="1" prompt="Для фасадов серии  F-700 идут петли скрытого монтажа комплектом (L+R)" sqref="E26:F26">
      <formula1>$E$26=1</formula1>
    </dataValidation>
    <dataValidation type="list" showInputMessage="1" showErrorMessage="1" prompt="F1-33; F1-99 есть: все докоры_x000a__x000a_F1-93 - нет:_x000a_- Белый глянец; Шампань_x000a__x000a_F1-33-S есть:_x000a_- Черный; Серебро; Латунь_x000a__x000a_Z-A есть:_x000a_- Черный анод; Серебро; Латунь" sqref="C11:D11">
      <formula1>$B$117:$B$125</formula1>
    </dataValidation>
    <dataValidation type="list" showInputMessage="1" showErrorMessage="1" prompt="- X-Black-Matt_x000a_- Золото_x000a_- Серебро" sqref="E11:H11">
      <formula1>$B$117:$B$125</formula1>
    </dataValidation>
    <dataValidation type="list" showInputMessage="1" showErrorMessage="1" sqref="C30:H31">
      <formula1>$B$128:$B$129</formula1>
    </dataValidation>
    <dataValidation type="list" showInputMessage="1" showErrorMessage="1" sqref="C17:H17">
      <formula1>$B$216:$B$222</formula1>
    </dataValidation>
    <dataValidation type="list" showInputMessage="1" showErrorMessage="1" sqref="C18:H18">
      <formula1>$B$223:$B$231</formula1>
    </dataValidation>
    <dataValidation type="list" allowBlank="1" showInputMessage="1" showErrorMessage="1" sqref="C28:H28">
      <formula1>$B$132:$B$133</formula1>
    </dataValidation>
    <dataValidation type="list" allowBlank="1" showInputMessage="1" showErrorMessage="1" promptTitle="Отсутсвует:" prompt="Z-B серебро 596мм" sqref="C14:H14">
      <formula1>$B$111:$B$114</formula1>
    </dataValidation>
    <dataValidation type="list" showInputMessage="1" showErrorMessage="1" sqref="C27:H27">
      <formula1>$B$153:$B$158</formula1>
    </dataValidation>
    <dataValidation type="list" allowBlank="1" showErrorMessage="1" promptTitle="Отсутсвует:" prompt="Z-B серебро 596мм" sqref="C15:H15">
      <formula1>$B$107:$B$108</formula1>
    </dataValidation>
    <dataValidation type="list" showInputMessage="1" showErrorMessage="1" prompt="F-777_x000a_F-793" sqref="E9">
      <formula1>$B$98:$B$99</formula1>
    </dataValidation>
    <dataValidation type="list" showInputMessage="1" showErrorMessage="1" prompt="F-993 с ручкой 2х200_x000a_F-993-L с ручкой 1000_x000a_F-993-R с ручкой 1000" sqref="H9">
      <formula1>$B$103:$B$105</formula1>
    </dataValidation>
  </dataValidations>
  <pageMargins left="0.11811023622047245" right="0.11811023622047245" top="0.23622047244094491" bottom="0.23622047244094491" header="0.31496062992125984" footer="0.31496062992125984"/>
  <pageSetup paperSize="9" scale="49" orientation="landscape" horizontalDpi="180" verticalDpi="18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>
    <tabColor rgb="FFFFFF00"/>
    <pageSetUpPr fitToPage="1"/>
  </sheetPr>
  <dimension ref="B1:H24"/>
  <sheetViews>
    <sheetView workbookViewId="0">
      <selection activeCell="D12" sqref="D12"/>
    </sheetView>
  </sheetViews>
  <sheetFormatPr defaultRowHeight="15" x14ac:dyDescent="0.25"/>
  <cols>
    <col min="1" max="1" width="4.42578125" customWidth="1"/>
    <col min="2" max="2" width="36.7109375" customWidth="1"/>
    <col min="3" max="8" width="27.5703125" customWidth="1"/>
  </cols>
  <sheetData>
    <row r="1" spans="2:8" x14ac:dyDescent="0.25">
      <c r="B1" s="40" t="s">
        <v>133</v>
      </c>
      <c r="C1" s="74">
        <f>расчет!C4</f>
        <v>0</v>
      </c>
      <c r="D1" s="140"/>
      <c r="E1" s="140"/>
    </row>
    <row r="2" spans="2:8" ht="18.75" x14ac:dyDescent="0.3">
      <c r="B2" s="40" t="s">
        <v>61</v>
      </c>
      <c r="C2" s="46">
        <f ca="1">расчет!C2</f>
        <v>46310</v>
      </c>
      <c r="D2" s="141"/>
      <c r="E2" s="141"/>
    </row>
    <row r="3" spans="2:8" ht="21" x14ac:dyDescent="0.35">
      <c r="B3" s="40" t="s">
        <v>24</v>
      </c>
      <c r="C3" s="232">
        <f>расчет!C6</f>
        <v>0</v>
      </c>
      <c r="D3" s="232"/>
      <c r="E3" s="232"/>
      <c r="F3" s="232"/>
      <c r="G3" s="142"/>
    </row>
    <row r="5" spans="2:8" ht="33.75" customHeight="1" x14ac:dyDescent="0.25">
      <c r="B5" s="41" t="s">
        <v>56</v>
      </c>
      <c r="C5" s="39" t="str">
        <f>CONCATENATE(расчет!C9," ",расчет!C11)</f>
        <v>Z-A Латунь</v>
      </c>
      <c r="D5" s="39" t="str">
        <f>CONCATENATE(расчет!D9," ",расчет!D11)</f>
        <v>F1-99 X-Black-Matt</v>
      </c>
      <c r="E5" s="39" t="str">
        <f>CONCATENATE(расчет!E9," ",расчет!E11)</f>
        <v>F-793 X-Black-Matt</v>
      </c>
      <c r="F5" s="39" t="str">
        <f>CONCATENATE(расчет!F9," ",расчет!F11)</f>
        <v>F-793 с ручкой X-Black-Matt</v>
      </c>
      <c r="G5" s="39" t="str">
        <f>CONCATENATE(расчет!G9," ",расчет!G11)</f>
        <v>F-993 X-Black-Matt</v>
      </c>
      <c r="H5" s="39" t="str">
        <f>CONCATENATE(расчет!H9," ",расчет!H11)</f>
        <v>F-993-L с ручкой 1000 X-Black-Matt</v>
      </c>
    </row>
    <row r="6" spans="2:8" ht="66" customHeight="1" x14ac:dyDescent="0.25">
      <c r="B6" s="5" t="s">
        <v>55</v>
      </c>
      <c r="C6" s="35"/>
      <c r="D6" s="35"/>
      <c r="E6" s="35"/>
      <c r="F6" s="35"/>
      <c r="G6" s="35"/>
      <c r="H6" s="35"/>
    </row>
    <row r="7" spans="2:8" ht="18.75" customHeight="1" x14ac:dyDescent="0.25">
      <c r="B7" s="38" t="s">
        <v>57</v>
      </c>
      <c r="C7" s="37" t="str">
        <f>IF(расчет!C46=0,"",CONCATENATE(расчет!C46,"м.п."))</f>
        <v/>
      </c>
      <c r="D7" s="37" t="str">
        <f>IF(расчет!D46=0,"",CONCATENATE(расчет!D46,"м.п."))</f>
        <v>4,52м.п.</v>
      </c>
      <c r="E7" s="37" t="str">
        <f>IF(расчет!E46=0,"",CONCATENATE(расчет!E46,"м.п."))</f>
        <v>5,132м.п.</v>
      </c>
      <c r="F7" s="37" t="str">
        <f>IF(расчет!F46=0,"",CONCATENATE(расчет!F46,"м.п."))</f>
        <v/>
      </c>
      <c r="G7" s="37" t="str">
        <f>IF(расчет!G46=0,"",CONCATENATE(расчет!G46,"м.п."))</f>
        <v>10,264м.п.</v>
      </c>
      <c r="H7" s="37" t="str">
        <f>IF(расчет!H46=0,"",CONCATENATE(расчет!H46,"м.п."))</f>
        <v/>
      </c>
    </row>
    <row r="8" spans="2:8" ht="18.75" customHeight="1" x14ac:dyDescent="0.25">
      <c r="B8" s="38" t="s">
        <v>58</v>
      </c>
      <c r="C8" s="37" t="str">
        <f>IF(расчет!C47=0,"",CONCATENATE(расчет!C47,"м.п."))</f>
        <v>1,82м.п.</v>
      </c>
      <c r="D8" s="37" t="str">
        <f>IF(расчет!D47=0,"",CONCATENATE(расчет!D47,"м.п."))</f>
        <v/>
      </c>
      <c r="E8" s="37" t="str">
        <f>IF(расчет!E47=0,"",CONCATENATE(расчет!E47,"м.п."))</f>
        <v/>
      </c>
      <c r="F8" s="37" t="str">
        <f>IF(расчет!F47=0,"",CONCATENATE(расчет!F47,"м.п."))</f>
        <v/>
      </c>
      <c r="G8" s="37" t="str">
        <f>IF(расчет!G47=0,"",CONCATENATE(расчет!G47,"м.п."))</f>
        <v/>
      </c>
      <c r="H8" s="37" t="str">
        <f>IF(расчет!H47=0,"",CONCATENATE(расчет!H47,"м.п."))</f>
        <v/>
      </c>
    </row>
    <row r="9" spans="2:8" ht="18.75" customHeight="1" x14ac:dyDescent="0.25">
      <c r="B9" s="38" t="s">
        <v>59</v>
      </c>
      <c r="C9" s="14" t="str">
        <f>IF(расчет!C9="Z-A",CONCATENATE(расчет!C29*2,"шт."),"")</f>
        <v>2шт.</v>
      </c>
      <c r="D9" s="14" t="str">
        <f>IF(расчет!D9="Z-A",CONCATENATE(расчет!D29*2,"шт."),"")</f>
        <v/>
      </c>
      <c r="E9" s="14" t="str">
        <f>IF(расчет!E9="Z-A",CONCATENATE(расчет!E29*2,"шт."),"")</f>
        <v/>
      </c>
      <c r="F9" s="14" t="str">
        <f>IF(расчет!F9="Z-A",CONCATENATE(расчет!F29*2,"шт."),"")</f>
        <v/>
      </c>
      <c r="G9" s="14" t="str">
        <f>IF(расчет!G9="Z-A",CONCATENATE(расчет!G29*2,"шт."),"")</f>
        <v/>
      </c>
      <c r="H9" s="14" t="str">
        <f>IF(расчет!H9="Z-A",CONCATENATE(расчет!H29*2,"шт."),"")</f>
        <v/>
      </c>
    </row>
    <row r="10" spans="2:8" ht="33.75" customHeight="1" x14ac:dyDescent="0.25">
      <c r="B10" s="124" t="s">
        <v>254</v>
      </c>
      <c r="C10" s="39" t="str">
        <f>IF(расчет!C16&gt;0,CONCATENATE(расчет!C15," ",расчет!C11),"")</f>
        <v/>
      </c>
      <c r="D10" s="39" t="str">
        <f>IF(расчет!D16&gt;0,CONCATENATE(расчет!D15," ",расчет!D11),"")</f>
        <v/>
      </c>
      <c r="E10" s="39" t="str">
        <f>IF(расчет!E16&gt;0,CONCATENATE(расчет!E15," ",расчет!E11),"")</f>
        <v/>
      </c>
      <c r="F10" s="39" t="str">
        <f>IF(расчет!F16&gt;0,CONCATENATE(расчет!F15," ",расчет!F11),"")</f>
        <v/>
      </c>
      <c r="G10" s="39" t="str">
        <f>IF(расчет!G16&gt;0,CONCATENATE(расчет!G15," ",расчет!G11),"")</f>
        <v>7226 для F1-93/793/993 X-Black-Matt</v>
      </c>
      <c r="H10" s="39" t="str">
        <f>IF(расчет!H16&gt;0,CONCATENATE(расчет!H15," ",расчет!H11),"")</f>
        <v/>
      </c>
    </row>
    <row r="11" spans="2:8" ht="45.75" customHeight="1" x14ac:dyDescent="0.25">
      <c r="B11" s="230" t="s">
        <v>106</v>
      </c>
      <c r="C11" s="39" t="str">
        <f>IF(расчет!C17=0,IF(расчет!C18=0,"",расчет!C18),расчет!C17)</f>
        <v>Стекло б/ц 4мм</v>
      </c>
      <c r="D11" s="39" t="str">
        <f>IF(расчет!D17=0,IF(расчет!D18=0,"",расчет!D18),расчет!D17)</f>
        <v>Стекло Графит (серое) тонированное в массе 4мм</v>
      </c>
      <c r="E11" s="39" t="str">
        <f>IF(расчет!E17=0,IF(расчет!E18=0,"",расчет!E18),расчет!E17)</f>
        <v>Стекло Графит (серое) тонированное в массе 4мм</v>
      </c>
      <c r="F11" s="39" t="str">
        <f>IF(расчет!F17=0,IF(расчет!F18=0,"",расчет!F18),расчет!F17)</f>
        <v>Стекло Графит (серое) тонированное в массе 4мм</v>
      </c>
      <c r="G11" s="39" t="str">
        <f>IF(расчет!G17=0,IF(расчет!G18=0,"",расчет!G18),расчет!G17)</f>
        <v/>
      </c>
      <c r="H11" s="39" t="str">
        <f>IF(расчет!H17=0,IF(расчет!H18=0,"",расчет!H18),расчет!H17)</f>
        <v>Стекло Графит (серое) тонированное в массе 4мм</v>
      </c>
    </row>
    <row r="12" spans="2:8" ht="18.75" customHeight="1" x14ac:dyDescent="0.25">
      <c r="B12" s="231"/>
      <c r="C12" s="39" t="str">
        <f>IF(OR(C11=0,C11=""),"",CONCATENATE(расчет!C39,"х",расчет!C40))</f>
        <v>893х358</v>
      </c>
      <c r="D12" s="39" t="str">
        <f>IF(OR(D11=0,D11=""),"",CONCATENATE(расчет!D39,"х",расчет!D40))</f>
        <v>1771х432</v>
      </c>
      <c r="E12" s="39" t="str">
        <f>IF(OR(E11=0,E11=""),"",CONCATENATE(расчет!E39,"х",расчет!E40))</f>
        <v>2088х464</v>
      </c>
      <c r="F12" s="39" t="str">
        <f>IF(OR(F11=0,F11=""),"",CONCATENATE(расчет!F39,"х",расчет!F40))</f>
        <v>1993х393</v>
      </c>
      <c r="G12" s="39" t="str">
        <f>IF(OR(G11=0,G11=""),"",CONCATENATE(расчет!G39,"х",расчет!G40))</f>
        <v/>
      </c>
      <c r="H12" s="39" t="str">
        <f>IF(OR(H11=0,H11=""),"",CONCATENATE(расчет!H39,"х",расчет!H40))</f>
        <v>2088х464</v>
      </c>
    </row>
    <row r="13" spans="2:8" ht="18.75" customHeight="1" x14ac:dyDescent="0.25">
      <c r="B13" s="233" t="s">
        <v>29</v>
      </c>
      <c r="C13" s="37" t="str">
        <f>IF(расчет!C44=0,"",расчет!C28)</f>
        <v>Прозрачный</v>
      </c>
      <c r="D13" s="37" t="str">
        <f>IF(расчет!D44=0,"",расчет!D28)</f>
        <v>Черный</v>
      </c>
      <c r="E13" s="37" t="str">
        <f>IF(расчет!E44=0,"",расчет!E28)</f>
        <v>Черный</v>
      </c>
      <c r="F13" s="37" t="str">
        <f>IF(расчет!F44=0,"",расчет!F28)</f>
        <v/>
      </c>
      <c r="G13" s="37" t="str">
        <f>IF(расчет!G44=0,"",расчет!G28)</f>
        <v>Черный</v>
      </c>
      <c r="H13" s="37" t="str">
        <f>IF(расчет!H44=0,"",расчет!H28)</f>
        <v/>
      </c>
    </row>
    <row r="14" spans="2:8" ht="18.75" customHeight="1" x14ac:dyDescent="0.25">
      <c r="B14" s="231"/>
      <c r="C14" s="37" t="str">
        <f>IF(расчет!C44=0,"",CONCATENATE(расчет!C44,"м.п."))</f>
        <v>2,5м.п.</v>
      </c>
      <c r="D14" s="37" t="str">
        <f>IF(расчет!D44=0,"",CONCATENATE(расчет!D44,"м.п."))</f>
        <v>4,41м.п.</v>
      </c>
      <c r="E14" s="37" t="str">
        <f>IF(расчет!E44=0,"",CONCATENATE(расчет!E44,"м.п."))</f>
        <v>5,1м.п.</v>
      </c>
      <c r="F14" s="37" t="str">
        <f>IF(расчет!F44=0,"",CONCATENATE(расчет!F44,"м.п."))</f>
        <v/>
      </c>
      <c r="G14" s="37" t="str">
        <f>IF(расчет!G44=0,"",CONCATENATE(расчет!G44,"м.п."))</f>
        <v>15,78м.п.</v>
      </c>
      <c r="H14" s="37" t="str">
        <f>IF(расчет!H44=0,"",CONCATENATE(расчет!H44,"м.п."))</f>
        <v/>
      </c>
    </row>
    <row r="15" spans="2:8" ht="39" customHeight="1" x14ac:dyDescent="0.25">
      <c r="B15" s="5" t="s">
        <v>60</v>
      </c>
      <c r="C15" s="72" t="str">
        <f>IF(расчет!C$56=0,"",CONCATENATE(VLOOKUP(расчет!C$9,расчет!$B$243:$D$254,3,FALSE),расчет!C56," шт."))</f>
        <v/>
      </c>
      <c r="D15" s="72" t="str">
        <f>IF(расчет!D$56=0,"",CONCATENATE(VLOOKUP(расчет!D$9,расчет!$B$243:$D$254,3,FALSE),расчет!D56," шт."))</f>
        <v>F1-99, силумин, 4 шт.</v>
      </c>
      <c r="E15" s="72" t="str">
        <f>IF(расчет!E$56=0,"",CONCATENATE(VLOOKUP(расчет!E$9,расчет!$B$243:$D$254,3,FALSE),расчет!E56," шт."))</f>
        <v>F-700 (2L+2R), 1 шт.</v>
      </c>
      <c r="F15" s="72" t="str">
        <f>IF(расчет!F$56=0,"",CONCATENATE(VLOOKUP(расчет!F$9,расчет!$B$243:$D$254,3,FALSE),расчет!F56," шт."))</f>
        <v/>
      </c>
      <c r="G15" s="72" t="str">
        <f>IF(расчет!G$56=0,"",CONCATENATE(VLOOKUP(расчет!G$9,расчет!$B$243:$D$254,3,FALSE),расчет!G56," шт."))</f>
        <v>F1-99, силумин, 8 шт.</v>
      </c>
      <c r="H15" s="72" t="str">
        <f>IF(расчет!H$56=0,"",CONCATENATE(VLOOKUP(расчет!H$9,расчет!$B$243:$D$254,3,FALSE),расчет!H56," шт."))</f>
        <v/>
      </c>
    </row>
    <row r="16" spans="2:8" ht="46.5" customHeight="1" x14ac:dyDescent="0.25">
      <c r="B16" s="5" t="s">
        <v>109</v>
      </c>
      <c r="C16" s="72" t="str">
        <f>IF(расчет!C50=0,"",CONCATENATE(VLOOKUP(CONCATENATE(расчет!C$9,расчет!C$11),расчет!$B$161:$C$212,2,FALSE),", ",расчет!C50," шт."))</f>
        <v/>
      </c>
      <c r="D16" s="72" t="str">
        <f>IF(расчет!D50=0,"",CONCATENATE(VLOOKUP(CONCATENATE(расчет!D$9,расчет!D$11),расчет!$B$161:$C$212,2,FALSE),", ",расчет!D50," шт."))</f>
        <v>Винт М4 х 8, потай, черный, 8 шт.</v>
      </c>
      <c r="E16" s="72" t="str">
        <f>IF(расчет!E50=0,"",CONCATENATE(VLOOKUP(CONCATENATE(расчет!E$9,расчет!E$11),расчет!$B$161:$C$212,2,FALSE),", ",расчет!E50," шт."))</f>
        <v>Винт М4 х 8, потай, черный, 12 шт.</v>
      </c>
      <c r="F16" s="72" t="str">
        <f>IF(расчет!F50=0,"",CONCATENATE(VLOOKUP(CONCATENATE(расчет!F$9,расчет!F$11),расчет!$B$161:$C$212,2,FALSE),", ",расчет!F50," шт."))</f>
        <v/>
      </c>
      <c r="G16" s="72" t="str">
        <f>IF(расчет!G50=0,"",CONCATENATE(VLOOKUP(CONCATENATE(расчет!G$9,расчет!G$11),расчет!$B$161:$C$212,2,FALSE),", ",расчет!G50," шт."))</f>
        <v>Винт М4 х 8, потай, черный, 28 шт.</v>
      </c>
      <c r="H16" s="72" t="str">
        <f>IF(расчет!H50=0,"",CONCATENATE(VLOOKUP(CONCATENATE(расчет!H$9,расчет!H$11),расчет!$B$161:$C$212,2,FALSE),", ",расчет!H50," шт."))</f>
        <v/>
      </c>
    </row>
    <row r="17" spans="2:8" ht="46.5" customHeight="1" x14ac:dyDescent="0.25">
      <c r="B17" s="5" t="s">
        <v>255</v>
      </c>
      <c r="C17" s="72" t="str">
        <f>IF(расчет!C16&gt;0,CONCATENATE(расчет!C16*2,"шт"),"")</f>
        <v/>
      </c>
      <c r="D17" s="72" t="str">
        <f>IF(расчет!D16&gt;0,CONCATENATE(расчет!D16*2,"шт"),"")</f>
        <v/>
      </c>
      <c r="E17" s="72" t="str">
        <f>IF(расчет!E16&gt;0,CONCATENATE(расчет!E16*2,"шт"),"")</f>
        <v/>
      </c>
      <c r="F17" s="72" t="str">
        <f>IF(расчет!F16&gt;0,CONCATENATE(расчет!F16*2,"шт"),"")</f>
        <v/>
      </c>
      <c r="G17" s="72" t="str">
        <f>IF(расчет!G16&gt;0,CONCATENATE(расчет!G16*2,"шт"),"")</f>
        <v>6шт</v>
      </c>
      <c r="H17" s="72" t="str">
        <f>IF(расчет!H16&gt;0,CONCATENATE(расчет!H16*2,"шт"),"")</f>
        <v/>
      </c>
    </row>
    <row r="18" spans="2:8" ht="47.25" customHeight="1" x14ac:dyDescent="0.25">
      <c r="B18" s="5" t="s">
        <v>110</v>
      </c>
      <c r="C18" s="72" t="str">
        <f>IF(расчет!C54=0,"",CONCATENATE(VLOOKUP(CONCATENATE(расчет!C$9,расчет!C$11),расчет!$B$161:$C$212,2,FALSE),", ",расчет!C54," шт."))</f>
        <v>Саморез 3,5х25 мм желтый для Z-B, 8 шт.</v>
      </c>
      <c r="D18" s="72" t="str">
        <f>IF(расчет!D54=0,"",CONCATENATE(VLOOKUP(CONCATENATE(расчет!D$9,расчет!D$11),расчет!$B$161:$C$212,2,FALSE),", ",расчет!D54," шт."))</f>
        <v/>
      </c>
      <c r="E18" s="72" t="str">
        <f>IF(расчет!E54=0,"",CONCATENATE(VLOOKUP(CONCATENATE(расчет!E$9,расчет!E$11),расчет!$B$161:$C$212,2,FALSE),", ",расчет!E54," шт."))</f>
        <v/>
      </c>
      <c r="F18" s="72" t="str">
        <f>IF(расчет!F54=0,"",CONCATENATE(VLOOKUP(CONCATENATE(расчет!F$9,расчет!F$11),расчет!$B$161:$C$212,2,FALSE),", ",расчет!F54," шт."))</f>
        <v/>
      </c>
      <c r="G18" s="72" t="str">
        <f>IF(расчет!G54=0,"",CONCATENATE(VLOOKUP(CONCATENATE(расчет!G$9,расчет!G$11),расчет!$B$161:$C$212,2,FALSE),", ",расчет!G54," шт."))</f>
        <v/>
      </c>
      <c r="H18" s="72" t="str">
        <f>IF(расчет!H54=0,"",CONCATENATE(VLOOKUP(CONCATENATE(расчет!H$9,расчет!H$11),расчет!$B$161:$C$212,2,FALSE),", ",расчет!H54," шт."))</f>
        <v/>
      </c>
    </row>
    <row r="19" spans="2:8" ht="15.75" x14ac:dyDescent="0.25">
      <c r="B19" s="5" t="s">
        <v>62</v>
      </c>
      <c r="C19" s="45">
        <f>расчет!C29</f>
        <v>1</v>
      </c>
      <c r="D19" s="45">
        <f>расчет!D29</f>
        <v>1</v>
      </c>
      <c r="E19" s="45">
        <f>расчет!E29</f>
        <v>1</v>
      </c>
      <c r="F19" s="45">
        <f>расчет!F29</f>
        <v>0</v>
      </c>
      <c r="G19" s="45">
        <f>расчет!G29</f>
        <v>2</v>
      </c>
      <c r="H19" s="45">
        <f>расчет!H29</f>
        <v>0</v>
      </c>
    </row>
    <row r="23" spans="2:8" x14ac:dyDescent="0.25">
      <c r="B23" s="71"/>
      <c r="F23" s="71"/>
      <c r="G23" s="71"/>
      <c r="H23" s="71"/>
    </row>
    <row r="24" spans="2:8" x14ac:dyDescent="0.25">
      <c r="B24" s="69" t="s">
        <v>63</v>
      </c>
      <c r="C24" s="70"/>
      <c r="D24" s="70"/>
      <c r="E24" s="70"/>
      <c r="F24" s="69" t="s">
        <v>64</v>
      </c>
      <c r="G24" s="69"/>
    </row>
  </sheetData>
  <sheetProtection selectLockedCells="1" selectUnlockedCells="1"/>
  <mergeCells count="3">
    <mergeCell ref="B11:B12"/>
    <mergeCell ref="C3:F3"/>
    <mergeCell ref="B13:B14"/>
  </mergeCells>
  <pageMargins left="0.42" right="0.45" top="0.36" bottom="0.35" header="0.31496062992125984" footer="0.31496062992125984"/>
  <pageSetup paperSize="9" scale="66" orientation="landscape" r:id="rId1"/>
  <ignoredErrors>
    <ignoredError sqref="C8:C9 C11:C14" unlocked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31:F33"/>
  <sheetViews>
    <sheetView workbookViewId="0">
      <selection activeCell="L19" sqref="L19"/>
    </sheetView>
  </sheetViews>
  <sheetFormatPr defaultRowHeight="15" x14ac:dyDescent="0.25"/>
  <sheetData>
    <row r="31" spans="1:6" x14ac:dyDescent="0.25">
      <c r="A31" s="83" t="s">
        <v>138</v>
      </c>
    </row>
    <row r="32" spans="1:6" ht="27" customHeight="1" x14ac:dyDescent="0.25">
      <c r="A32" s="82" t="s">
        <v>135</v>
      </c>
      <c r="B32" s="1"/>
      <c r="C32" s="234" t="s">
        <v>136</v>
      </c>
      <c r="D32" s="235"/>
      <c r="E32" s="236"/>
      <c r="F32" s="1"/>
    </row>
    <row r="33" spans="1:6" ht="27" customHeight="1" x14ac:dyDescent="0.25">
      <c r="A33" s="82" t="s">
        <v>135</v>
      </c>
      <c r="B33" s="1"/>
      <c r="C33" s="234" t="s">
        <v>137</v>
      </c>
      <c r="D33" s="235"/>
      <c r="E33" s="236"/>
      <c r="F33" s="1"/>
    </row>
  </sheetData>
  <mergeCells count="2">
    <mergeCell ref="C32:E32"/>
    <mergeCell ref="C33:E3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расчет</vt:lpstr>
      <vt:lpstr>заявка</vt:lpstr>
      <vt:lpstr>эскиз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2026-10-15T12:14:26Z</dcterms:modified>
</cp:coreProperties>
</file>